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drawings/drawing10.xml" ContentType="application/vnd.openxmlformats-officedocument.drawing+xml"/>
  <Override PartName="/xl/charts/chart14.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drawings/drawing12.xml" ContentType="application/vnd.openxmlformats-officedocument.drawing+xml"/>
  <Override PartName="/xl/charts/chart16.xml" ContentType="application/vnd.openxmlformats-officedocument.drawingml.chart+xml"/>
  <Override PartName="/xl/drawings/drawing13.xml" ContentType="application/vnd.openxmlformats-officedocument.drawing+xml"/>
  <Override PartName="/xl/charts/chart17.xml" ContentType="application/vnd.openxmlformats-officedocument.drawingml.chart+xml"/>
  <Override PartName="/xl/drawings/drawing14.xml" ContentType="application/vnd.openxmlformats-officedocument.drawing+xml"/>
  <Override PartName="/xl/charts/chart18.xml" ContentType="application/vnd.openxmlformats-officedocument.drawingml.chart+xml"/>
  <Override PartName="/xl/drawings/drawing15.xml" ContentType="application/vnd.openxmlformats-officedocument.drawing+xml"/>
  <Override PartName="/xl/charts/chart19.xml" ContentType="application/vnd.openxmlformats-officedocument.drawingml.chart+xml"/>
  <Override PartName="/xl/drawings/drawing16.xml" ContentType="application/vnd.openxmlformats-officedocument.drawing+xml"/>
  <Override PartName="/xl/charts/chart20.xml" ContentType="application/vnd.openxmlformats-officedocument.drawingml.chart+xml"/>
  <Override PartName="/xl/drawings/drawing17.xml" ContentType="application/vnd.openxmlformats-officedocument.drawing+xml"/>
  <Override PartName="/xl/charts/chart21.xml" ContentType="application/vnd.openxmlformats-officedocument.drawingml.chart+xml"/>
  <Override PartName="/xl/drawings/drawing1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tabRatio="752" activeTab="1"/>
  </bookViews>
  <sheets>
    <sheet name="READ ME!" sheetId="18" r:id="rId1"/>
    <sheet name="Parabell Planform" sheetId="21" r:id="rId2"/>
    <sheet name="Loft Viewer" sheetId="14" r:id="rId3"/>
    <sheet name="Airfoil Interpolation" sheetId="15" r:id="rId4"/>
    <sheet name="Root" sheetId="1" r:id="rId5"/>
    <sheet name="2" sheetId="2" r:id="rId6"/>
    <sheet name="3" sheetId="3" r:id="rId7"/>
    <sheet name="4" sheetId="4" r:id="rId8"/>
    <sheet name="5" sheetId="5" r:id="rId9"/>
    <sheet name="6" sheetId="6" r:id="rId10"/>
    <sheet name="7" sheetId="7" r:id="rId11"/>
    <sheet name="8" sheetId="8" r:id="rId12"/>
    <sheet name="9" sheetId="9" r:id="rId13"/>
    <sheet name="10" sheetId="10" r:id="rId14"/>
    <sheet name="11" sheetId="11" r:id="rId15"/>
    <sheet name="12" sheetId="12" r:id="rId16"/>
    <sheet name="Tip" sheetId="13" r:id="rId17"/>
    <sheet name="Airfoil database" sheetId="19" r:id="rId18"/>
    <sheet name="Calculations (ignore)" sheetId="20" r:id="rId19"/>
  </sheets>
  <calcPr calcId="144525" iterate="1"/>
</workbook>
</file>

<file path=xl/calcChain.xml><?xml version="1.0" encoding="utf-8"?>
<calcChain xmlns="http://schemas.openxmlformats.org/spreadsheetml/2006/main">
  <c r="C45" i="21" l="1"/>
  <c r="D45" i="21"/>
  <c r="E45" i="21"/>
  <c r="F45" i="21"/>
  <c r="G45" i="21"/>
  <c r="H45" i="21"/>
  <c r="I45" i="21"/>
  <c r="J45" i="21"/>
  <c r="K45" i="21"/>
  <c r="L45" i="21"/>
  <c r="M45" i="21"/>
  <c r="N45" i="21"/>
  <c r="B45" i="21"/>
  <c r="B26" i="20" l="1"/>
  <c r="B13" i="21"/>
  <c r="B72" i="20" l="1"/>
  <c r="C72" i="20" s="1"/>
  <c r="D51" i="20" l="1"/>
  <c r="E51" i="20" s="1"/>
  <c r="F51" i="20" s="1"/>
  <c r="G51" i="20" s="1"/>
  <c r="H51" i="20" s="1"/>
  <c r="I51" i="20" s="1"/>
  <c r="J51" i="20" s="1"/>
  <c r="K51" i="20" s="1"/>
  <c r="L51" i="20" s="1"/>
  <c r="M51" i="20" s="1"/>
  <c r="N51" i="20" s="1"/>
  <c r="C51" i="20"/>
  <c r="B46" i="20"/>
  <c r="N36" i="20"/>
  <c r="B36" i="20"/>
  <c r="B16" i="20"/>
  <c r="B22" i="20"/>
  <c r="B19" i="20"/>
  <c r="O2" i="20"/>
  <c r="B8" i="20"/>
  <c r="B6" i="20"/>
  <c r="B5" i="20"/>
  <c r="B4" i="20"/>
  <c r="B1" i="20"/>
  <c r="B4" i="14" s="1"/>
  <c r="B62" i="20" l="1"/>
  <c r="C26" i="20"/>
  <c r="D26" i="20" s="1"/>
  <c r="E26" i="20" s="1"/>
  <c r="F26" i="20" s="1"/>
  <c r="G26" i="20" s="1"/>
  <c r="H26" i="20" s="1"/>
  <c r="I26" i="20" s="1"/>
  <c r="J26" i="20" s="1"/>
  <c r="K26" i="20" s="1"/>
  <c r="L26" i="20" s="1"/>
  <c r="M26" i="20" s="1"/>
  <c r="N26" i="20" s="1"/>
  <c r="C22" i="20"/>
  <c r="D22" i="20" s="1"/>
  <c r="E22" i="20" s="1"/>
  <c r="F22" i="20" s="1"/>
  <c r="G22" i="20" s="1"/>
  <c r="H22" i="20" s="1"/>
  <c r="I22" i="20" s="1"/>
  <c r="J22" i="20" s="1"/>
  <c r="K22" i="20" s="1"/>
  <c r="L22" i="20" s="1"/>
  <c r="M22" i="20" s="1"/>
  <c r="N22" i="20" s="1"/>
  <c r="B20" i="20"/>
  <c r="B23" i="20" s="1"/>
  <c r="C19" i="20"/>
  <c r="D19" i="20" s="1"/>
  <c r="E19" i="20" s="1"/>
  <c r="F19" i="20" s="1"/>
  <c r="B17" i="20"/>
  <c r="C8" i="20"/>
  <c r="D8" i="20" s="1"/>
  <c r="C6" i="20"/>
  <c r="D6" i="20" s="1"/>
  <c r="E6" i="20" s="1"/>
  <c r="F6" i="20" s="1"/>
  <c r="G6" i="20" s="1"/>
  <c r="H6" i="20" s="1"/>
  <c r="I6" i="20" s="1"/>
  <c r="J6" i="20" s="1"/>
  <c r="K6" i="20" s="1"/>
  <c r="L6" i="20" s="1"/>
  <c r="M6" i="20" s="1"/>
  <c r="N6" i="20" s="1"/>
  <c r="C5" i="20"/>
  <c r="D5" i="20" s="1"/>
  <c r="C4" i="20"/>
  <c r="D4" i="20" s="1"/>
  <c r="E4" i="20" s="1"/>
  <c r="F4" i="20" s="1"/>
  <c r="G4" i="20" s="1"/>
  <c r="H4" i="20" s="1"/>
  <c r="I4" i="20" s="1"/>
  <c r="J4" i="20" s="1"/>
  <c r="K4" i="20" s="1"/>
  <c r="L4" i="20" s="1"/>
  <c r="M4" i="20" s="1"/>
  <c r="N4" i="20" s="1"/>
  <c r="B3" i="20"/>
  <c r="B44" i="21" s="1"/>
  <c r="C2" i="20"/>
  <c r="C1" i="20"/>
  <c r="C3" i="20" s="1"/>
  <c r="C44" i="21" s="1"/>
  <c r="B3" i="13"/>
  <c r="B4" i="13"/>
  <c r="B5" i="13"/>
  <c r="B6" i="13"/>
  <c r="B7" i="13"/>
  <c r="B8" i="13"/>
  <c r="B9" i="13"/>
  <c r="B10" i="13"/>
  <c r="B11" i="13"/>
  <c r="B12" i="13"/>
  <c r="B13" i="13"/>
  <c r="B14" i="13"/>
  <c r="B15" i="13"/>
  <c r="B16" i="13"/>
  <c r="B17" i="13"/>
  <c r="B18" i="13"/>
  <c r="B19" i="13"/>
  <c r="B20" i="13"/>
  <c r="B21" i="13"/>
  <c r="B22" i="13"/>
  <c r="B23" i="13"/>
  <c r="B24" i="13"/>
  <c r="B25" i="13"/>
  <c r="B26" i="13"/>
  <c r="B27" i="13"/>
  <c r="B28" i="13"/>
  <c r="B29" i="13"/>
  <c r="B30" i="13"/>
  <c r="B31" i="13"/>
  <c r="B2"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2" i="13"/>
  <c r="J2" i="1"/>
  <c r="J2" i="13"/>
  <c r="J2" i="12"/>
  <c r="J2" i="11"/>
  <c r="J2" i="10"/>
  <c r="J2" i="9"/>
  <c r="J2" i="8"/>
  <c r="J2" i="7"/>
  <c r="J2" i="6"/>
  <c r="J2" i="5"/>
  <c r="J2" i="4"/>
  <c r="J2" i="3"/>
  <c r="J2" i="2"/>
  <c r="B47" i="21" l="1"/>
  <c r="C54" i="20"/>
  <c r="C55" i="20" s="1"/>
  <c r="B71" i="20"/>
  <c r="C71" i="20" s="1"/>
  <c r="C17" i="20"/>
  <c r="O3" i="20"/>
  <c r="B54" i="20"/>
  <c r="B55" i="20" s="1"/>
  <c r="C5" i="14"/>
  <c r="P3" i="20"/>
  <c r="D2" i="20"/>
  <c r="Q2" i="20" s="1"/>
  <c r="P2" i="20"/>
  <c r="C20" i="20"/>
  <c r="D20" i="20" s="1"/>
  <c r="D23" i="20" s="1"/>
  <c r="B5" i="14"/>
  <c r="C24" i="20"/>
  <c r="C7" i="20"/>
  <c r="E5" i="20"/>
  <c r="C36" i="20"/>
  <c r="E2" i="20"/>
  <c r="D1" i="20"/>
  <c r="B24" i="20"/>
  <c r="B25" i="20" s="1"/>
  <c r="G19" i="20"/>
  <c r="E8" i="20"/>
  <c r="B7" i="20"/>
  <c r="B39" i="20" l="1"/>
  <c r="B49" i="21" s="1"/>
  <c r="E20" i="20"/>
  <c r="F20" i="20" s="1"/>
  <c r="C23" i="20"/>
  <c r="D17" i="20"/>
  <c r="O7" i="20"/>
  <c r="B52" i="20"/>
  <c r="C52" i="20"/>
  <c r="C7" i="14"/>
  <c r="P7" i="20"/>
  <c r="F2" i="20"/>
  <c r="R2" i="20"/>
  <c r="C25" i="20"/>
  <c r="B7" i="14"/>
  <c r="D36" i="20"/>
  <c r="E36" i="20" s="1"/>
  <c r="F5" i="20"/>
  <c r="F8" i="20"/>
  <c r="H19" i="20"/>
  <c r="E1" i="20"/>
  <c r="D3" i="20"/>
  <c r="E23" i="20" l="1"/>
  <c r="D54" i="20"/>
  <c r="D55" i="20" s="1"/>
  <c r="D44" i="21"/>
  <c r="C47" i="21" s="1"/>
  <c r="E17" i="20"/>
  <c r="D5" i="14"/>
  <c r="Q3" i="20"/>
  <c r="G2" i="20"/>
  <c r="S2" i="20"/>
  <c r="E3" i="20"/>
  <c r="F1" i="20"/>
  <c r="I19" i="20"/>
  <c r="D24" i="20"/>
  <c r="D25" i="20" s="1"/>
  <c r="D7" i="20"/>
  <c r="G8" i="20"/>
  <c r="F23" i="20"/>
  <c r="G20" i="20"/>
  <c r="G5" i="20"/>
  <c r="C39" i="20" l="1"/>
  <c r="C49" i="21" s="1"/>
  <c r="E54" i="20"/>
  <c r="E55" i="20" s="1"/>
  <c r="E44" i="21"/>
  <c r="D47" i="21" s="1"/>
  <c r="F17" i="20"/>
  <c r="D52" i="20"/>
  <c r="D7" i="14"/>
  <c r="Q7" i="20"/>
  <c r="H2" i="20"/>
  <c r="T2" i="20"/>
  <c r="E5" i="14"/>
  <c r="R3" i="20"/>
  <c r="F36" i="20"/>
  <c r="G36" i="20" s="1"/>
  <c r="H5" i="20"/>
  <c r="H8" i="20"/>
  <c r="E24" i="20"/>
  <c r="E25" i="20" s="1"/>
  <c r="E7" i="20"/>
  <c r="J19" i="20"/>
  <c r="G23" i="20"/>
  <c r="H20" i="20"/>
  <c r="G1" i="20"/>
  <c r="F3" i="20"/>
  <c r="D39" i="20" l="1"/>
  <c r="D49" i="21" s="1"/>
  <c r="F54" i="20"/>
  <c r="F55" i="20" s="1"/>
  <c r="F44" i="21"/>
  <c r="E47" i="21" s="1"/>
  <c r="G17" i="20"/>
  <c r="E52" i="20"/>
  <c r="E7" i="14"/>
  <c r="R7" i="20"/>
  <c r="F5" i="14"/>
  <c r="S3" i="20"/>
  <c r="I2" i="20"/>
  <c r="U2" i="20"/>
  <c r="K19" i="20"/>
  <c r="F24" i="20"/>
  <c r="F25" i="20" s="1"/>
  <c r="F7" i="20"/>
  <c r="H23" i="20"/>
  <c r="I20" i="20"/>
  <c r="I8" i="20"/>
  <c r="G3" i="20"/>
  <c r="H1" i="20"/>
  <c r="I5" i="20"/>
  <c r="E39" i="20" l="1"/>
  <c r="E49" i="21" s="1"/>
  <c r="G54" i="20"/>
  <c r="G55" i="20" s="1"/>
  <c r="G44" i="21"/>
  <c r="F47" i="21" s="1"/>
  <c r="H17" i="20"/>
  <c r="F52" i="20"/>
  <c r="F7" i="14"/>
  <c r="S7" i="20"/>
  <c r="J2" i="20"/>
  <c r="V2" i="20"/>
  <c r="H36" i="20"/>
  <c r="I36" i="20" s="1"/>
  <c r="G5" i="14"/>
  <c r="T3" i="20"/>
  <c r="J5" i="20"/>
  <c r="G24" i="20"/>
  <c r="G25" i="20" s="1"/>
  <c r="G7" i="20"/>
  <c r="J8" i="20"/>
  <c r="H3" i="20"/>
  <c r="I1" i="20"/>
  <c r="I23" i="20"/>
  <c r="J20" i="20"/>
  <c r="L19" i="20"/>
  <c r="F39" i="20" l="1"/>
  <c r="F49" i="21" s="1"/>
  <c r="H54" i="20"/>
  <c r="H55" i="20" s="1"/>
  <c r="H44" i="21"/>
  <c r="G47" i="21" s="1"/>
  <c r="I17" i="20"/>
  <c r="G52" i="20"/>
  <c r="H5" i="14"/>
  <c r="U3" i="20"/>
  <c r="G7" i="14"/>
  <c r="T7" i="20"/>
  <c r="J36" i="20"/>
  <c r="K2" i="20"/>
  <c r="W2" i="20"/>
  <c r="I3" i="20"/>
  <c r="J1" i="20"/>
  <c r="K8" i="20"/>
  <c r="K5" i="20"/>
  <c r="M19" i="20"/>
  <c r="H24" i="20"/>
  <c r="H25" i="20" s="1"/>
  <c r="H7" i="20"/>
  <c r="K20" i="20"/>
  <c r="J23" i="20"/>
  <c r="G39" i="20" l="1"/>
  <c r="G49" i="21" s="1"/>
  <c r="I54" i="20"/>
  <c r="I55" i="20" s="1"/>
  <c r="I44" i="21"/>
  <c r="H47" i="21" s="1"/>
  <c r="J17" i="20"/>
  <c r="H52" i="20"/>
  <c r="I5" i="14"/>
  <c r="V3" i="20"/>
  <c r="H7" i="14"/>
  <c r="U7" i="20"/>
  <c r="L2" i="20"/>
  <c r="X2" i="20"/>
  <c r="L8" i="20"/>
  <c r="N19" i="20"/>
  <c r="J3" i="20"/>
  <c r="K1" i="20"/>
  <c r="K23" i="20"/>
  <c r="L20" i="20"/>
  <c r="L5" i="20"/>
  <c r="I24" i="20"/>
  <c r="I25" i="20" s="1"/>
  <c r="I7" i="20"/>
  <c r="H39" i="20" l="1"/>
  <c r="H49" i="21" s="1"/>
  <c r="J54" i="20"/>
  <c r="J55" i="20" s="1"/>
  <c r="J44" i="21"/>
  <c r="I47" i="21" s="1"/>
  <c r="K17" i="20"/>
  <c r="I52" i="20"/>
  <c r="I7" i="14"/>
  <c r="V7" i="20"/>
  <c r="M2" i="20"/>
  <c r="Y2" i="20"/>
  <c r="J5" i="14"/>
  <c r="W3" i="20"/>
  <c r="K36" i="20"/>
  <c r="L36" i="20" s="1"/>
  <c r="L1" i="20"/>
  <c r="K3" i="20"/>
  <c r="M5" i="20"/>
  <c r="L23" i="20"/>
  <c r="M20" i="20"/>
  <c r="J24" i="20"/>
  <c r="J25" i="20" s="1"/>
  <c r="J7" i="20"/>
  <c r="M8" i="20"/>
  <c r="I39" i="20" l="1"/>
  <c r="I49" i="21" s="1"/>
  <c r="K54" i="20"/>
  <c r="K55" i="20" s="1"/>
  <c r="K44" i="21"/>
  <c r="J47" i="21" s="1"/>
  <c r="L17" i="20"/>
  <c r="J52" i="20"/>
  <c r="K5" i="14"/>
  <c r="X3" i="20"/>
  <c r="J7" i="14"/>
  <c r="W7" i="20"/>
  <c r="M36" i="20"/>
  <c r="N2" i="20"/>
  <c r="AA2" i="20" s="1"/>
  <c r="Z2" i="20"/>
  <c r="N5" i="20"/>
  <c r="N8" i="20"/>
  <c r="M23" i="20"/>
  <c r="N20" i="20"/>
  <c r="N23" i="20" s="1"/>
  <c r="K24" i="20"/>
  <c r="K25" i="20" s="1"/>
  <c r="K7" i="20"/>
  <c r="L3" i="20"/>
  <c r="M1" i="20"/>
  <c r="J39" i="20" l="1"/>
  <c r="J49" i="21" s="1"/>
  <c r="L54" i="20"/>
  <c r="L55" i="20" s="1"/>
  <c r="L44" i="21"/>
  <c r="K47" i="21" s="1"/>
  <c r="M17" i="20"/>
  <c r="K52" i="20"/>
  <c r="L5" i="14"/>
  <c r="Y3" i="20"/>
  <c r="K7" i="14"/>
  <c r="X7" i="20"/>
  <c r="M3" i="20"/>
  <c r="N1" i="20"/>
  <c r="N3" i="20" s="1"/>
  <c r="N44" i="21" s="1"/>
  <c r="L24" i="20"/>
  <c r="L25" i="20" s="1"/>
  <c r="L7" i="20"/>
  <c r="K39" i="20" l="1"/>
  <c r="K49" i="21" s="1"/>
  <c r="M54" i="20"/>
  <c r="M55" i="20" s="1"/>
  <c r="M44" i="21"/>
  <c r="L47" i="21" s="1"/>
  <c r="N17" i="20"/>
  <c r="L52" i="20"/>
  <c r="AA3" i="20"/>
  <c r="N54" i="20"/>
  <c r="N7" i="20"/>
  <c r="L7" i="14"/>
  <c r="Y7" i="20"/>
  <c r="M5" i="14"/>
  <c r="Z3" i="20"/>
  <c r="N24" i="20"/>
  <c r="N25" i="20" s="1"/>
  <c r="N5" i="14"/>
  <c r="M24" i="20"/>
  <c r="M25" i="20" s="1"/>
  <c r="M7" i="20"/>
  <c r="M47" i="21" l="1"/>
  <c r="L39" i="20"/>
  <c r="L49" i="21" s="1"/>
  <c r="M39" i="20"/>
  <c r="M49" i="21" s="1"/>
  <c r="N7" i="14"/>
  <c r="B10" i="21"/>
  <c r="B9" i="20" s="1"/>
  <c r="M52" i="20"/>
  <c r="AA7" i="20"/>
  <c r="N52" i="20"/>
  <c r="O52" i="20" s="1"/>
  <c r="O54" i="20"/>
  <c r="O55" i="20" s="1"/>
  <c r="N55" i="20"/>
  <c r="M7" i="14"/>
  <c r="Z7" i="20"/>
  <c r="B63" i="20" l="1"/>
  <c r="C9" i="20"/>
  <c r="B10" i="20"/>
  <c r="O10" i="20" l="1"/>
  <c r="B11" i="20"/>
  <c r="B46" i="21" s="1"/>
  <c r="B53" i="20"/>
  <c r="D9" i="20"/>
  <c r="C10" i="20"/>
  <c r="E9" i="20" l="1"/>
  <c r="D10" i="20"/>
  <c r="B13" i="20"/>
  <c r="O13" i="20" s="1"/>
  <c r="B6" i="14"/>
  <c r="B33" i="20"/>
  <c r="C53" i="20"/>
  <c r="P10" i="20"/>
  <c r="C11" i="20"/>
  <c r="B12" i="20" l="1"/>
  <c r="C46" i="21"/>
  <c r="D53" i="20"/>
  <c r="D11" i="20"/>
  <c r="D46" i="21" s="1"/>
  <c r="Q10" i="20"/>
  <c r="C6" i="14"/>
  <c r="C13" i="20"/>
  <c r="B58" i="20"/>
  <c r="B59" i="20" s="1"/>
  <c r="C33" i="20"/>
  <c r="F9" i="20"/>
  <c r="E10" i="20"/>
  <c r="E53" i="20" l="1"/>
  <c r="R10" i="20"/>
  <c r="E11" i="20"/>
  <c r="C58" i="20"/>
  <c r="C59" i="20" s="1"/>
  <c r="D33" i="20"/>
  <c r="D6" i="14"/>
  <c r="D13" i="20"/>
  <c r="G9" i="20"/>
  <c r="F10" i="20"/>
  <c r="P13" i="20"/>
  <c r="B40" i="20"/>
  <c r="C12" i="20"/>
  <c r="B41" i="20" l="1"/>
  <c r="B48" i="21"/>
  <c r="D12" i="20"/>
  <c r="E46" i="21"/>
  <c r="Q13" i="20"/>
  <c r="C40" i="20"/>
  <c r="E33" i="20"/>
  <c r="D58" i="20"/>
  <c r="D59" i="20" s="1"/>
  <c r="E13" i="20"/>
  <c r="E6" i="14"/>
  <c r="F11" i="20"/>
  <c r="S10" i="20"/>
  <c r="F53" i="20"/>
  <c r="H9" i="20"/>
  <c r="G10" i="20"/>
  <c r="E12" i="20" l="1"/>
  <c r="F46" i="21"/>
  <c r="C41" i="20"/>
  <c r="C48" i="21"/>
  <c r="G53" i="20"/>
  <c r="G11" i="20"/>
  <c r="T10" i="20"/>
  <c r="I9" i="20"/>
  <c r="H10" i="20"/>
  <c r="E58" i="20"/>
  <c r="E59" i="20" s="1"/>
  <c r="F13" i="20"/>
  <c r="F33" i="20"/>
  <c r="F6" i="14"/>
  <c r="R13" i="20"/>
  <c r="D40" i="20"/>
  <c r="D41" i="20" l="1"/>
  <c r="D48" i="21"/>
  <c r="F12" i="20"/>
  <c r="G46" i="21"/>
  <c r="S13" i="20"/>
  <c r="E40" i="20"/>
  <c r="F58" i="20"/>
  <c r="F59" i="20" s="1"/>
  <c r="G33" i="20"/>
  <c r="G6" i="14"/>
  <c r="G13" i="20"/>
  <c r="U10" i="20"/>
  <c r="H53" i="20"/>
  <c r="H11" i="20"/>
  <c r="J9" i="20"/>
  <c r="I10" i="20"/>
  <c r="G12" i="20" l="1"/>
  <c r="H46" i="21"/>
  <c r="E41" i="20"/>
  <c r="E48" i="21"/>
  <c r="H6" i="14"/>
  <c r="H13" i="20"/>
  <c r="H33" i="20"/>
  <c r="G58" i="20"/>
  <c r="G59" i="20" s="1"/>
  <c r="I11" i="20"/>
  <c r="I46" i="21" s="1"/>
  <c r="V10" i="20"/>
  <c r="I53" i="20"/>
  <c r="T13" i="20"/>
  <c r="F40" i="20"/>
  <c r="K9" i="20"/>
  <c r="J10" i="20"/>
  <c r="F41" i="20" l="1"/>
  <c r="F48" i="21"/>
  <c r="I6" i="14"/>
  <c r="H58" i="20"/>
  <c r="H59" i="20" s="1"/>
  <c r="I13" i="20"/>
  <c r="I33" i="20"/>
  <c r="U13" i="20"/>
  <c r="G40" i="20"/>
  <c r="J11" i="20"/>
  <c r="J46" i="21" s="1"/>
  <c r="W10" i="20"/>
  <c r="J53" i="20"/>
  <c r="H12" i="20"/>
  <c r="L9" i="20"/>
  <c r="K10" i="20"/>
  <c r="A3" i="1"/>
  <c r="B3" i="1"/>
  <c r="A4" i="1"/>
  <c r="B4" i="1"/>
  <c r="A5" i="1"/>
  <c r="B5" i="1"/>
  <c r="A6" i="1"/>
  <c r="B6"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B2" i="1"/>
  <c r="A2" i="1"/>
  <c r="G41" i="20" l="1"/>
  <c r="G48" i="21"/>
  <c r="V13" i="20"/>
  <c r="H40" i="20"/>
  <c r="K53" i="20"/>
  <c r="K11" i="20"/>
  <c r="K46" i="21" s="1"/>
  <c r="X10" i="20"/>
  <c r="M9" i="20"/>
  <c r="L10" i="20"/>
  <c r="J13" i="20"/>
  <c r="J33" i="20"/>
  <c r="I58" i="20"/>
  <c r="I59" i="20" s="1"/>
  <c r="J6" i="14"/>
  <c r="I12" i="20"/>
  <c r="J12" i="20" l="1"/>
  <c r="H41" i="20"/>
  <c r="H48" i="21"/>
  <c r="W13" i="20"/>
  <c r="I40" i="20"/>
  <c r="K33" i="20"/>
  <c r="J58" i="20"/>
  <c r="J59" i="20" s="1"/>
  <c r="K6" i="14"/>
  <c r="K13" i="20"/>
  <c r="Y10" i="20"/>
  <c r="L11" i="20"/>
  <c r="L53" i="20"/>
  <c r="N9" i="20"/>
  <c r="N10" i="20" s="1"/>
  <c r="M10" i="20"/>
  <c r="C9" i="14"/>
  <c r="D9" i="14"/>
  <c r="E9" i="14"/>
  <c r="B9" i="14"/>
  <c r="D2" i="5"/>
  <c r="P2" i="5" s="1"/>
  <c r="D2" i="4"/>
  <c r="P2" i="4" s="1"/>
  <c r="D2" i="3"/>
  <c r="P2" i="3" s="1"/>
  <c r="D2" i="2"/>
  <c r="P2" i="2" s="1"/>
  <c r="D2" i="1"/>
  <c r="I41" i="20" l="1"/>
  <c r="I48" i="21"/>
  <c r="K12" i="20"/>
  <c r="L46" i="21"/>
  <c r="N53" i="20"/>
  <c r="O53" i="20" s="1"/>
  <c r="AA10" i="20"/>
  <c r="N11" i="20"/>
  <c r="N46" i="21" s="1"/>
  <c r="L33" i="20"/>
  <c r="K58" i="20"/>
  <c r="K59" i="20" s="1"/>
  <c r="L6" i="14"/>
  <c r="L13" i="20"/>
  <c r="J40" i="20"/>
  <c r="X13" i="20"/>
  <c r="M53" i="20"/>
  <c r="M11" i="20"/>
  <c r="Z10" i="20"/>
  <c r="D2" i="6"/>
  <c r="P2" i="6" s="1"/>
  <c r="F9" i="14"/>
  <c r="F2" i="7"/>
  <c r="F3" i="7" s="1"/>
  <c r="F4" i="7" s="1"/>
  <c r="F5" i="7" s="1"/>
  <c r="F6" i="7" s="1"/>
  <c r="F7" i="7" s="1"/>
  <c r="F8" i="7" s="1"/>
  <c r="F9" i="7" s="1"/>
  <c r="F10" i="7" s="1"/>
  <c r="F11" i="7" s="1"/>
  <c r="F12" i="7" s="1"/>
  <c r="F13" i="7" s="1"/>
  <c r="F14" i="7" s="1"/>
  <c r="F15" i="7" s="1"/>
  <c r="F16" i="7" s="1"/>
  <c r="F17" i="7" s="1"/>
  <c r="F18" i="7" s="1"/>
  <c r="F19" i="7" s="1"/>
  <c r="F20" i="7" s="1"/>
  <c r="F21" i="7" s="1"/>
  <c r="F22" i="7" s="1"/>
  <c r="F23" i="7" s="1"/>
  <c r="F24" i="7" s="1"/>
  <c r="F25" i="7" s="1"/>
  <c r="F26" i="7" s="1"/>
  <c r="F27" i="7" s="1"/>
  <c r="F28" i="7" s="1"/>
  <c r="F29" i="7" s="1"/>
  <c r="F30" i="7" s="1"/>
  <c r="F31" i="7" s="1"/>
  <c r="F2" i="6"/>
  <c r="F2" i="5"/>
  <c r="F3" i="5" s="1"/>
  <c r="F4" i="5" s="1"/>
  <c r="F5" i="5" s="1"/>
  <c r="F6" i="5" s="1"/>
  <c r="F7" i="5" s="1"/>
  <c r="F8" i="5" s="1"/>
  <c r="F9" i="5" s="1"/>
  <c r="F10" i="5" s="1"/>
  <c r="F11" i="5" s="1"/>
  <c r="F12" i="5" s="1"/>
  <c r="F13" i="5" s="1"/>
  <c r="F14" i="5" s="1"/>
  <c r="F15" i="5" s="1"/>
  <c r="F16" i="5" s="1"/>
  <c r="F17" i="5" s="1"/>
  <c r="F18" i="5" s="1"/>
  <c r="F19" i="5" s="1"/>
  <c r="F20" i="5" s="1"/>
  <c r="F21" i="5" s="1"/>
  <c r="F22" i="5" s="1"/>
  <c r="F23" i="5" s="1"/>
  <c r="F24" i="5" s="1"/>
  <c r="F25" i="5" s="1"/>
  <c r="F26" i="5" s="1"/>
  <c r="F27" i="5" s="1"/>
  <c r="F28" i="5" s="1"/>
  <c r="F29" i="5" s="1"/>
  <c r="F30" i="5" s="1"/>
  <c r="F31" i="5" s="1"/>
  <c r="F2" i="4"/>
  <c r="F3" i="4" s="1"/>
  <c r="F4" i="4" s="1"/>
  <c r="F5" i="4" s="1"/>
  <c r="F6" i="4" s="1"/>
  <c r="F7" i="4" s="1"/>
  <c r="F8" i="4" s="1"/>
  <c r="F9" i="4" s="1"/>
  <c r="F10" i="4" s="1"/>
  <c r="F11" i="4" s="1"/>
  <c r="F12" i="4" s="1"/>
  <c r="F13" i="4" s="1"/>
  <c r="F14" i="4" s="1"/>
  <c r="F15" i="4" s="1"/>
  <c r="F16" i="4" s="1"/>
  <c r="F17" i="4" s="1"/>
  <c r="F18" i="4" s="1"/>
  <c r="F19" i="4" s="1"/>
  <c r="F20" i="4" s="1"/>
  <c r="F21" i="4" s="1"/>
  <c r="F22" i="4" s="1"/>
  <c r="F23" i="4" s="1"/>
  <c r="F24" i="4" s="1"/>
  <c r="F25" i="4" s="1"/>
  <c r="F26" i="4" s="1"/>
  <c r="F27" i="4" s="1"/>
  <c r="F28" i="4" s="1"/>
  <c r="F29" i="4" s="1"/>
  <c r="F30" i="4" s="1"/>
  <c r="F31" i="4" s="1"/>
  <c r="F2" i="3"/>
  <c r="F3" i="3" s="1"/>
  <c r="F4" i="3" s="1"/>
  <c r="F5" i="3" s="1"/>
  <c r="F6" i="3" s="1"/>
  <c r="F7" i="3" s="1"/>
  <c r="F8" i="3" s="1"/>
  <c r="F9" i="3" s="1"/>
  <c r="F10" i="3" s="1"/>
  <c r="F11" i="3" s="1"/>
  <c r="F12" i="3" s="1"/>
  <c r="F13" i="3" s="1"/>
  <c r="F14" i="3" s="1"/>
  <c r="F15" i="3" s="1"/>
  <c r="F16" i="3" s="1"/>
  <c r="F17" i="3" s="1"/>
  <c r="F18" i="3" s="1"/>
  <c r="F19" i="3" s="1"/>
  <c r="F20" i="3" s="1"/>
  <c r="F21" i="3" s="1"/>
  <c r="F22" i="3" s="1"/>
  <c r="F23" i="3" s="1"/>
  <c r="F24" i="3" s="1"/>
  <c r="F25" i="3" s="1"/>
  <c r="F26" i="3" s="1"/>
  <c r="F27" i="3" s="1"/>
  <c r="F28" i="3" s="1"/>
  <c r="F29" i="3" s="1"/>
  <c r="F30" i="3" s="1"/>
  <c r="F31" i="3" s="1"/>
  <c r="D3" i="3"/>
  <c r="F2" i="2"/>
  <c r="F3" i="2" s="1"/>
  <c r="F4" i="2" s="1"/>
  <c r="F5" i="2" s="1"/>
  <c r="F6" i="2" s="1"/>
  <c r="F7" i="2" s="1"/>
  <c r="F8" i="2" s="1"/>
  <c r="F9" i="2" s="1"/>
  <c r="F10" i="2" s="1"/>
  <c r="F11" i="2" s="1"/>
  <c r="F12" i="2" s="1"/>
  <c r="F13" i="2" s="1"/>
  <c r="F14" i="2" s="1"/>
  <c r="F15" i="2" s="1"/>
  <c r="F16" i="2" s="1"/>
  <c r="F17" i="2" s="1"/>
  <c r="F18" i="2" s="1"/>
  <c r="F19" i="2" s="1"/>
  <c r="F20" i="2" s="1"/>
  <c r="F21" i="2" s="1"/>
  <c r="F22" i="2" s="1"/>
  <c r="F23" i="2" s="1"/>
  <c r="F24" i="2" s="1"/>
  <c r="F25" i="2" s="1"/>
  <c r="F26" i="2" s="1"/>
  <c r="F27" i="2" s="1"/>
  <c r="F28" i="2" s="1"/>
  <c r="F29" i="2" s="1"/>
  <c r="F30" i="2" s="1"/>
  <c r="F31" i="2" s="1"/>
  <c r="D3" i="5"/>
  <c r="D3" i="4"/>
  <c r="D3" i="2"/>
  <c r="P3" i="2" s="1"/>
  <c r="F2" i="1"/>
  <c r="F3" i="1" s="1"/>
  <c r="F4" i="1" s="1"/>
  <c r="F5" i="1" s="1"/>
  <c r="F6" i="1" s="1"/>
  <c r="F7" i="1" s="1"/>
  <c r="F8" i="1" s="1"/>
  <c r="F9" i="1" s="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P2" i="1"/>
  <c r="J41" i="20" l="1"/>
  <c r="J48" i="21"/>
  <c r="L12" i="20"/>
  <c r="M46" i="21"/>
  <c r="K40" i="20"/>
  <c r="Y13" i="20"/>
  <c r="N13" i="20"/>
  <c r="AA13" i="20" s="1"/>
  <c r="N58" i="20"/>
  <c r="N59" i="20" s="1"/>
  <c r="N33" i="20"/>
  <c r="N6" i="14"/>
  <c r="M58" i="20"/>
  <c r="M59" i="20" s="1"/>
  <c r="M33" i="20"/>
  <c r="L58" i="20"/>
  <c r="L59" i="20" s="1"/>
  <c r="M6" i="14"/>
  <c r="M12" i="20"/>
  <c r="B47" i="20" s="1"/>
  <c r="M13" i="20"/>
  <c r="D4" i="4"/>
  <c r="P4" i="4" s="1"/>
  <c r="P3" i="4"/>
  <c r="D4" i="5"/>
  <c r="P4" i="5" s="1"/>
  <c r="P3" i="5"/>
  <c r="D4" i="3"/>
  <c r="P4" i="3" s="1"/>
  <c r="P3" i="3"/>
  <c r="G9" i="14"/>
  <c r="D2" i="7"/>
  <c r="P2" i="7" s="1"/>
  <c r="F2" i="8"/>
  <c r="F3" i="8" s="1"/>
  <c r="F4" i="8" s="1"/>
  <c r="F5" i="8" s="1"/>
  <c r="F6" i="8" s="1"/>
  <c r="F7" i="8" s="1"/>
  <c r="F8" i="8" s="1"/>
  <c r="F9" i="8" s="1"/>
  <c r="F10" i="8" s="1"/>
  <c r="F11" i="8" s="1"/>
  <c r="F12" i="8" s="1"/>
  <c r="F13" i="8" s="1"/>
  <c r="F14" i="8" s="1"/>
  <c r="F15" i="8" s="1"/>
  <c r="F16" i="8" s="1"/>
  <c r="F17" i="8" s="1"/>
  <c r="F18" i="8" s="1"/>
  <c r="F19" i="8" s="1"/>
  <c r="F20" i="8" s="1"/>
  <c r="F21" i="8" s="1"/>
  <c r="F22" i="8" s="1"/>
  <c r="F23" i="8" s="1"/>
  <c r="F24" i="8" s="1"/>
  <c r="F25" i="8" s="1"/>
  <c r="F26" i="8" s="1"/>
  <c r="F27" i="8" s="1"/>
  <c r="F28" i="8" s="1"/>
  <c r="F29" i="8" s="1"/>
  <c r="F30" i="8" s="1"/>
  <c r="F31" i="8" s="1"/>
  <c r="D3" i="6"/>
  <c r="P3" i="6" s="1"/>
  <c r="F3" i="6"/>
  <c r="D4" i="2"/>
  <c r="P4" i="2" s="1"/>
  <c r="D3" i="1"/>
  <c r="P3" i="1" s="1"/>
  <c r="K41" i="20" l="1"/>
  <c r="K48" i="21"/>
  <c r="B60" i="20"/>
  <c r="K63" i="20" s="1"/>
  <c r="B48" i="20"/>
  <c r="B11" i="21"/>
  <c r="B14" i="21" s="1"/>
  <c r="M40" i="20"/>
  <c r="Z13" i="20"/>
  <c r="L40" i="20"/>
  <c r="D5" i="4"/>
  <c r="P5" i="4" s="1"/>
  <c r="D5" i="3"/>
  <c r="P5" i="3" s="1"/>
  <c r="D5" i="5"/>
  <c r="P5" i="5" s="1"/>
  <c r="D3" i="7"/>
  <c r="H9" i="14"/>
  <c r="D2" i="8"/>
  <c r="P2" i="8" s="1"/>
  <c r="F2" i="9"/>
  <c r="F3" i="9" s="1"/>
  <c r="F4" i="9" s="1"/>
  <c r="F5" i="9" s="1"/>
  <c r="F6" i="9" s="1"/>
  <c r="F7" i="9" s="1"/>
  <c r="F8" i="9" s="1"/>
  <c r="F9" i="9" s="1"/>
  <c r="F10" i="9" s="1"/>
  <c r="F11" i="9" s="1"/>
  <c r="F12" i="9" s="1"/>
  <c r="F13" i="9" s="1"/>
  <c r="F14" i="9" s="1"/>
  <c r="F15" i="9" s="1"/>
  <c r="F16" i="9" s="1"/>
  <c r="F17" i="9" s="1"/>
  <c r="F18" i="9" s="1"/>
  <c r="F19" i="9" s="1"/>
  <c r="F20" i="9" s="1"/>
  <c r="F21" i="9" s="1"/>
  <c r="F22" i="9" s="1"/>
  <c r="F23" i="9" s="1"/>
  <c r="F24" i="9" s="1"/>
  <c r="F25" i="9" s="1"/>
  <c r="F26" i="9" s="1"/>
  <c r="F27" i="9" s="1"/>
  <c r="F28" i="9" s="1"/>
  <c r="F29" i="9" s="1"/>
  <c r="F30" i="9" s="1"/>
  <c r="F31" i="9" s="1"/>
  <c r="D4" i="6"/>
  <c r="P4" i="6" s="1"/>
  <c r="F4" i="6"/>
  <c r="D5" i="2"/>
  <c r="P5" i="2" s="1"/>
  <c r="D4" i="1"/>
  <c r="P4" i="1" s="1"/>
  <c r="L41" i="20" l="1"/>
  <c r="L48" i="21"/>
  <c r="M41" i="20"/>
  <c r="M48" i="21"/>
  <c r="B18" i="20"/>
  <c r="B38" i="20"/>
  <c r="O38" i="20" s="1"/>
  <c r="B26" i="21"/>
  <c r="C38" i="20"/>
  <c r="P38" i="20" s="1"/>
  <c r="D38" i="20"/>
  <c r="Q38" i="20" s="1"/>
  <c r="E38" i="20"/>
  <c r="R38" i="20" s="1"/>
  <c r="F38" i="20"/>
  <c r="S38" i="20" s="1"/>
  <c r="G38" i="20"/>
  <c r="T38" i="20" s="1"/>
  <c r="H38" i="20"/>
  <c r="U38" i="20" s="1"/>
  <c r="I38" i="20"/>
  <c r="V38" i="20" s="1"/>
  <c r="J38" i="20"/>
  <c r="W38" i="20" s="1"/>
  <c r="K38" i="20"/>
  <c r="X38" i="20" s="1"/>
  <c r="L38" i="20"/>
  <c r="Y38" i="20" s="1"/>
  <c r="M38" i="20"/>
  <c r="Z38" i="20" s="1"/>
  <c r="N38" i="20"/>
  <c r="AA38" i="20" s="1"/>
  <c r="B15" i="21"/>
  <c r="B64" i="20"/>
  <c r="B65" i="20"/>
  <c r="D6" i="4"/>
  <c r="P6" i="4" s="1"/>
  <c r="D6" i="3"/>
  <c r="P6" i="3" s="1"/>
  <c r="D6" i="5"/>
  <c r="P6" i="5" s="1"/>
  <c r="D4" i="7"/>
  <c r="P4" i="7" s="1"/>
  <c r="P3" i="7"/>
  <c r="D3" i="8"/>
  <c r="P3" i="8" s="1"/>
  <c r="I9" i="14"/>
  <c r="D2" i="9"/>
  <c r="P2" i="9" s="1"/>
  <c r="F2" i="10"/>
  <c r="F3" i="10" s="1"/>
  <c r="F4" i="10" s="1"/>
  <c r="F5" i="10" s="1"/>
  <c r="F6" i="10" s="1"/>
  <c r="F7" i="10" s="1"/>
  <c r="F8" i="10" s="1"/>
  <c r="F9" i="10" s="1"/>
  <c r="F10" i="10" s="1"/>
  <c r="F11" i="10" s="1"/>
  <c r="F12" i="10" s="1"/>
  <c r="F13" i="10" s="1"/>
  <c r="F14" i="10" s="1"/>
  <c r="F15" i="10" s="1"/>
  <c r="F16" i="10" s="1"/>
  <c r="F17" i="10" s="1"/>
  <c r="F18" i="10" s="1"/>
  <c r="F19" i="10" s="1"/>
  <c r="F20" i="10" s="1"/>
  <c r="F21" i="10" s="1"/>
  <c r="F22" i="10" s="1"/>
  <c r="F23" i="10" s="1"/>
  <c r="F24" i="10" s="1"/>
  <c r="F25" i="10" s="1"/>
  <c r="F26" i="10" s="1"/>
  <c r="F27" i="10" s="1"/>
  <c r="F28" i="10" s="1"/>
  <c r="F29" i="10" s="1"/>
  <c r="F30" i="10" s="1"/>
  <c r="F31" i="10" s="1"/>
  <c r="D5" i="6"/>
  <c r="P5" i="6" s="1"/>
  <c r="F5" i="6"/>
  <c r="D6" i="2"/>
  <c r="P6" i="2" s="1"/>
  <c r="D5" i="1"/>
  <c r="P5" i="1" s="1"/>
  <c r="B66" i="20" l="1"/>
  <c r="C69" i="20" s="1"/>
  <c r="B42" i="20"/>
  <c r="B12" i="21" s="1"/>
  <c r="B31" i="21" s="1"/>
  <c r="C18" i="20"/>
  <c r="B27" i="20"/>
  <c r="D7" i="4"/>
  <c r="P7" i="4" s="1"/>
  <c r="D5" i="7"/>
  <c r="P5" i="7" s="1"/>
  <c r="D7" i="5"/>
  <c r="P7" i="5" s="1"/>
  <c r="D7" i="3"/>
  <c r="P7" i="3" s="1"/>
  <c r="D3" i="9"/>
  <c r="P3" i="9" s="1"/>
  <c r="J9" i="14"/>
  <c r="D2" i="10"/>
  <c r="P2" i="10" s="1"/>
  <c r="D4" i="8"/>
  <c r="P4" i="8" s="1"/>
  <c r="F2" i="11"/>
  <c r="F3" i="11" s="1"/>
  <c r="F4" i="11" s="1"/>
  <c r="F5" i="11" s="1"/>
  <c r="F6" i="11" s="1"/>
  <c r="F7" i="11" s="1"/>
  <c r="F8" i="11" s="1"/>
  <c r="F9" i="11" s="1"/>
  <c r="F10" i="11" s="1"/>
  <c r="F11" i="11" s="1"/>
  <c r="F12" i="11" s="1"/>
  <c r="F13" i="11" s="1"/>
  <c r="F14" i="11" s="1"/>
  <c r="F15" i="11" s="1"/>
  <c r="F16" i="11" s="1"/>
  <c r="F17" i="11" s="1"/>
  <c r="F18" i="11" s="1"/>
  <c r="F19" i="11" s="1"/>
  <c r="F20" i="11" s="1"/>
  <c r="F21" i="11" s="1"/>
  <c r="F22" i="11" s="1"/>
  <c r="F23" i="11" s="1"/>
  <c r="F24" i="11" s="1"/>
  <c r="F25" i="11" s="1"/>
  <c r="F26" i="11" s="1"/>
  <c r="F27" i="11" s="1"/>
  <c r="F28" i="11" s="1"/>
  <c r="F29" i="11" s="1"/>
  <c r="F30" i="11" s="1"/>
  <c r="F31" i="11" s="1"/>
  <c r="D6" i="6"/>
  <c r="P6" i="6" s="1"/>
  <c r="F6" i="6"/>
  <c r="D7" i="2"/>
  <c r="P7" i="2" s="1"/>
  <c r="D6" i="1"/>
  <c r="P6" i="1" s="1"/>
  <c r="B16" i="21" l="1"/>
  <c r="D62" i="20"/>
  <c r="D63" i="20" s="1"/>
  <c r="B69" i="20"/>
  <c r="B28" i="20"/>
  <c r="B29" i="20"/>
  <c r="B30" i="20" s="1"/>
  <c r="B31" i="20" s="1"/>
  <c r="C27" i="20"/>
  <c r="D18" i="20"/>
  <c r="D8" i="5"/>
  <c r="P8" i="5" s="1"/>
  <c r="D6" i="7"/>
  <c r="P6" i="7" s="1"/>
  <c r="D8" i="4"/>
  <c r="P8" i="4" s="1"/>
  <c r="D8" i="3"/>
  <c r="P8" i="3" s="1"/>
  <c r="D5" i="8"/>
  <c r="P5" i="8" s="1"/>
  <c r="K9" i="14"/>
  <c r="D2" i="11"/>
  <c r="P2" i="11" s="1"/>
  <c r="D3" i="10"/>
  <c r="P3" i="10" s="1"/>
  <c r="D4" i="9"/>
  <c r="P4" i="9" s="1"/>
  <c r="F2" i="12"/>
  <c r="F3" i="12" s="1"/>
  <c r="F4" i="12" s="1"/>
  <c r="F5" i="12" s="1"/>
  <c r="F6" i="12" s="1"/>
  <c r="F7" i="12" s="1"/>
  <c r="F8" i="12" s="1"/>
  <c r="F9" i="12" s="1"/>
  <c r="F10" i="12" s="1"/>
  <c r="F11" i="12" s="1"/>
  <c r="F12" i="12" s="1"/>
  <c r="F13" i="12" s="1"/>
  <c r="F14" i="12" s="1"/>
  <c r="F15" i="12" s="1"/>
  <c r="F16" i="12" s="1"/>
  <c r="F17" i="12" s="1"/>
  <c r="F18" i="12" s="1"/>
  <c r="F19" i="12" s="1"/>
  <c r="F20" i="12" s="1"/>
  <c r="F21" i="12" s="1"/>
  <c r="F22" i="12" s="1"/>
  <c r="F23" i="12" s="1"/>
  <c r="F24" i="12" s="1"/>
  <c r="F25" i="12" s="1"/>
  <c r="F26" i="12" s="1"/>
  <c r="F27" i="12" s="1"/>
  <c r="F28" i="12" s="1"/>
  <c r="F29" i="12" s="1"/>
  <c r="F30" i="12" s="1"/>
  <c r="F31" i="12" s="1"/>
  <c r="D7" i="6"/>
  <c r="P7" i="6" s="1"/>
  <c r="F7" i="6"/>
  <c r="D9" i="5"/>
  <c r="P9" i="5" s="1"/>
  <c r="D8" i="2"/>
  <c r="P8" i="2" s="1"/>
  <c r="D7" i="1"/>
  <c r="P7" i="1" s="1"/>
  <c r="B32" i="21" l="1"/>
  <c r="E62" i="20"/>
  <c r="E18" i="20"/>
  <c r="D27" i="20"/>
  <c r="C29" i="20"/>
  <c r="C30" i="20" s="1"/>
  <c r="C31" i="20" s="1"/>
  <c r="C28" i="20"/>
  <c r="B34" i="20"/>
  <c r="O34" i="20" s="1"/>
  <c r="O28" i="20"/>
  <c r="D9" i="3"/>
  <c r="P9" i="3" s="1"/>
  <c r="D9" i="4"/>
  <c r="P9" i="4" s="1"/>
  <c r="D7" i="7"/>
  <c r="P7" i="7" s="1"/>
  <c r="D3" i="11"/>
  <c r="P3" i="11" s="1"/>
  <c r="L9" i="14"/>
  <c r="D2" i="12"/>
  <c r="P2" i="12" s="1"/>
  <c r="F2" i="13"/>
  <c r="F3" i="13" s="1"/>
  <c r="F4" i="13" s="1"/>
  <c r="F5" i="13" s="1"/>
  <c r="F6" i="13" s="1"/>
  <c r="F7" i="13" s="1"/>
  <c r="F8" i="13" s="1"/>
  <c r="F9" i="13" s="1"/>
  <c r="F10" i="13" s="1"/>
  <c r="F11" i="13" s="1"/>
  <c r="F12" i="13" s="1"/>
  <c r="F13" i="13" s="1"/>
  <c r="F14" i="13" s="1"/>
  <c r="F15" i="13" s="1"/>
  <c r="F16" i="13" s="1"/>
  <c r="F17" i="13" s="1"/>
  <c r="F18" i="13" s="1"/>
  <c r="F19" i="13" s="1"/>
  <c r="F20" i="13" s="1"/>
  <c r="F21" i="13" s="1"/>
  <c r="F22" i="13" s="1"/>
  <c r="F23" i="13" s="1"/>
  <c r="F24" i="13" s="1"/>
  <c r="F25" i="13" s="1"/>
  <c r="F26" i="13" s="1"/>
  <c r="F27" i="13" s="1"/>
  <c r="F28" i="13" s="1"/>
  <c r="F29" i="13" s="1"/>
  <c r="F30" i="13" s="1"/>
  <c r="F31" i="13" s="1"/>
  <c r="D5" i="9"/>
  <c r="P5" i="9" s="1"/>
  <c r="D4" i="10"/>
  <c r="P4" i="10" s="1"/>
  <c r="D6" i="8"/>
  <c r="P6" i="8" s="1"/>
  <c r="D8" i="6"/>
  <c r="P8" i="6" s="1"/>
  <c r="F8" i="6"/>
  <c r="D10" i="5"/>
  <c r="P10" i="5" s="1"/>
  <c r="D10" i="4"/>
  <c r="P10" i="4" s="1"/>
  <c r="D9" i="2"/>
  <c r="P9" i="2" s="1"/>
  <c r="D8" i="1"/>
  <c r="P8" i="1" s="1"/>
  <c r="B73" i="20" l="1"/>
  <c r="B35" i="21" s="1"/>
  <c r="B68" i="20"/>
  <c r="B33" i="21" s="1"/>
  <c r="B75" i="20"/>
  <c r="B34" i="21"/>
  <c r="E63" i="20"/>
  <c r="D10" i="3"/>
  <c r="P10" i="3" s="1"/>
  <c r="B35" i="20"/>
  <c r="B37" i="20" s="1"/>
  <c r="B8" i="14" s="1"/>
  <c r="B50" i="21" s="1"/>
  <c r="C34" i="20"/>
  <c r="P28" i="20"/>
  <c r="D29" i="20"/>
  <c r="D30" i="20" s="1"/>
  <c r="D31" i="20" s="1"/>
  <c r="D28" i="20"/>
  <c r="F18" i="20"/>
  <c r="E27" i="20"/>
  <c r="D8" i="7"/>
  <c r="P8" i="7" s="1"/>
  <c r="D7" i="8"/>
  <c r="P7" i="8" s="1"/>
  <c r="D6" i="9"/>
  <c r="P6" i="9" s="1"/>
  <c r="M9" i="14"/>
  <c r="D2" i="13"/>
  <c r="D5" i="10"/>
  <c r="P5" i="10" s="1"/>
  <c r="D3" i="12"/>
  <c r="P3" i="12" s="1"/>
  <c r="D4" i="11"/>
  <c r="P4" i="11" s="1"/>
  <c r="D9" i="6"/>
  <c r="P9" i="6" s="1"/>
  <c r="F9" i="6"/>
  <c r="D11" i="5"/>
  <c r="P11" i="5" s="1"/>
  <c r="D11" i="4"/>
  <c r="P11" i="4" s="1"/>
  <c r="D11" i="3"/>
  <c r="P11" i="3" s="1"/>
  <c r="D10" i="2"/>
  <c r="P10" i="2" s="1"/>
  <c r="D9" i="1"/>
  <c r="P9" i="1" s="1"/>
  <c r="C68" i="20" l="1"/>
  <c r="O37" i="20"/>
  <c r="D34" i="20"/>
  <c r="Q28" i="20"/>
  <c r="E28" i="20"/>
  <c r="E29" i="20"/>
  <c r="E30" i="20" s="1"/>
  <c r="E31" i="20" s="1"/>
  <c r="C75" i="20"/>
  <c r="G18" i="20"/>
  <c r="F27" i="20"/>
  <c r="C35" i="20"/>
  <c r="C37" i="20" s="1"/>
  <c r="P34" i="20"/>
  <c r="D9" i="7"/>
  <c r="P9" i="7" s="1"/>
  <c r="C4" i="14"/>
  <c r="B10" i="14"/>
  <c r="D5" i="11"/>
  <c r="P5" i="11" s="1"/>
  <c r="D4" i="12"/>
  <c r="P4" i="12" s="1"/>
  <c r="D6" i="10"/>
  <c r="P6" i="10" s="1"/>
  <c r="P2" i="13"/>
  <c r="D3" i="13"/>
  <c r="D7" i="9"/>
  <c r="P7" i="9" s="1"/>
  <c r="D8" i="8"/>
  <c r="P8" i="8" s="1"/>
  <c r="D10" i="6"/>
  <c r="P10" i="6" s="1"/>
  <c r="F10" i="6"/>
  <c r="D12" i="5"/>
  <c r="P12" i="5" s="1"/>
  <c r="D12" i="4"/>
  <c r="P12" i="4" s="1"/>
  <c r="D12" i="3"/>
  <c r="P12" i="3" s="1"/>
  <c r="D11" i="2"/>
  <c r="P11" i="2" s="1"/>
  <c r="D10" i="1"/>
  <c r="P10" i="1" s="1"/>
  <c r="F29" i="20" l="1"/>
  <c r="F30" i="20" s="1"/>
  <c r="F31" i="20" s="1"/>
  <c r="F28" i="20"/>
  <c r="G27" i="20"/>
  <c r="H18" i="20"/>
  <c r="R28" i="20"/>
  <c r="E34" i="20"/>
  <c r="C8" i="14"/>
  <c r="C50" i="21" s="1"/>
  <c r="P37" i="20"/>
  <c r="Q34" i="20"/>
  <c r="D35" i="20"/>
  <c r="D37" i="20" s="1"/>
  <c r="D10" i="7"/>
  <c r="P10" i="7" s="1"/>
  <c r="D4" i="14"/>
  <c r="C10" i="14"/>
  <c r="H4" i="15" s="1"/>
  <c r="D9" i="8"/>
  <c r="P9" i="8" s="1"/>
  <c r="D8" i="9"/>
  <c r="P8" i="9" s="1"/>
  <c r="D4" i="13"/>
  <c r="P3" i="13"/>
  <c r="D7" i="10"/>
  <c r="P7" i="10" s="1"/>
  <c r="D5" i="12"/>
  <c r="P5" i="12" s="1"/>
  <c r="D6" i="11"/>
  <c r="P6" i="11" s="1"/>
  <c r="D11" i="6"/>
  <c r="P11" i="6" s="1"/>
  <c r="F11" i="6"/>
  <c r="D13" i="5"/>
  <c r="P13" i="5" s="1"/>
  <c r="D13" i="4"/>
  <c r="P13" i="4" s="1"/>
  <c r="D13" i="3"/>
  <c r="P13" i="3" s="1"/>
  <c r="D12" i="2"/>
  <c r="P12" i="2" s="1"/>
  <c r="D11" i="1"/>
  <c r="P11" i="1" s="1"/>
  <c r="D11" i="7" l="1"/>
  <c r="P11" i="7" s="1"/>
  <c r="I18" i="20"/>
  <c r="H27" i="20"/>
  <c r="G29" i="20"/>
  <c r="G30" i="20" s="1"/>
  <c r="G31" i="20" s="1"/>
  <c r="G28" i="20"/>
  <c r="D8" i="14"/>
  <c r="D50" i="21" s="1"/>
  <c r="Q37" i="20"/>
  <c r="R34" i="20"/>
  <c r="E35" i="20"/>
  <c r="E37" i="20" s="1"/>
  <c r="S28" i="20"/>
  <c r="F34" i="20"/>
  <c r="E4" i="14"/>
  <c r="D10" i="14"/>
  <c r="L4" i="15" s="1"/>
  <c r="I4" i="15"/>
  <c r="A2" i="2" s="1"/>
  <c r="J4" i="15"/>
  <c r="B2" i="2" s="1"/>
  <c r="H5" i="15"/>
  <c r="D7" i="11"/>
  <c r="P7" i="11" s="1"/>
  <c r="D8" i="10"/>
  <c r="P8" i="10" s="1"/>
  <c r="D9" i="9"/>
  <c r="P9" i="9" s="1"/>
  <c r="D6" i="12"/>
  <c r="P6" i="12" s="1"/>
  <c r="P4" i="13"/>
  <c r="D5" i="13"/>
  <c r="D10" i="8"/>
  <c r="P10" i="8" s="1"/>
  <c r="D12" i="6"/>
  <c r="P12" i="6" s="1"/>
  <c r="F12" i="6"/>
  <c r="D14" i="5"/>
  <c r="P14" i="5" s="1"/>
  <c r="D14" i="4"/>
  <c r="P14" i="4" s="1"/>
  <c r="D14" i="3"/>
  <c r="P14" i="3" s="1"/>
  <c r="D13" i="2"/>
  <c r="P13" i="2" s="1"/>
  <c r="D12" i="1"/>
  <c r="P12" i="1" s="1"/>
  <c r="D12" i="7" l="1"/>
  <c r="P12" i="7" s="1"/>
  <c r="S34" i="20"/>
  <c r="F35" i="20"/>
  <c r="F37" i="20" s="1"/>
  <c r="H29" i="20"/>
  <c r="H30" i="20" s="1"/>
  <c r="H31" i="20" s="1"/>
  <c r="H28" i="20"/>
  <c r="J18" i="20"/>
  <c r="I27" i="20"/>
  <c r="R37" i="20"/>
  <c r="E8" i="14"/>
  <c r="E50" i="21" s="1"/>
  <c r="G34" i="20"/>
  <c r="T28" i="20"/>
  <c r="J5" i="15"/>
  <c r="B3" i="2" s="1"/>
  <c r="H6" i="15"/>
  <c r="I5" i="15"/>
  <c r="A3" i="2" s="1"/>
  <c r="F4" i="14"/>
  <c r="E10" i="14"/>
  <c r="P4" i="15" s="1"/>
  <c r="N4" i="15"/>
  <c r="B2" i="3" s="1"/>
  <c r="M4" i="15"/>
  <c r="A2" i="3" s="1"/>
  <c r="L5" i="15"/>
  <c r="D11" i="8"/>
  <c r="P11" i="8" s="1"/>
  <c r="D7" i="12"/>
  <c r="P7" i="12" s="1"/>
  <c r="P5" i="13"/>
  <c r="D6" i="13"/>
  <c r="D10" i="9"/>
  <c r="P10" i="9" s="1"/>
  <c r="D9" i="10"/>
  <c r="P9" i="10" s="1"/>
  <c r="D8" i="11"/>
  <c r="P8" i="11" s="1"/>
  <c r="D13" i="6"/>
  <c r="P13" i="6" s="1"/>
  <c r="F13" i="6"/>
  <c r="D15" i="5"/>
  <c r="P15" i="5" s="1"/>
  <c r="D15" i="4"/>
  <c r="P15" i="4" s="1"/>
  <c r="D15" i="3"/>
  <c r="P15" i="3" s="1"/>
  <c r="D14" i="2"/>
  <c r="P14" i="2" s="1"/>
  <c r="D13" i="1"/>
  <c r="P13" i="1" s="1"/>
  <c r="D13" i="7" l="1"/>
  <c r="P13" i="7" s="1"/>
  <c r="H34" i="20"/>
  <c r="U28" i="20"/>
  <c r="I28" i="20"/>
  <c r="I29" i="20"/>
  <c r="I30" i="20" s="1"/>
  <c r="I31" i="20" s="1"/>
  <c r="F8" i="14"/>
  <c r="F50" i="21" s="1"/>
  <c r="S37" i="20"/>
  <c r="G35" i="20"/>
  <c r="G37" i="20" s="1"/>
  <c r="T34" i="20"/>
  <c r="J27" i="20"/>
  <c r="K18" i="20"/>
  <c r="R4" i="15"/>
  <c r="B2" i="4" s="1"/>
  <c r="Q4" i="15"/>
  <c r="A2" i="4" s="1"/>
  <c r="P5" i="15"/>
  <c r="N5" i="15"/>
  <c r="B3" i="3" s="1"/>
  <c r="L6" i="15"/>
  <c r="M5" i="15"/>
  <c r="A3" i="3" s="1"/>
  <c r="G4" i="14"/>
  <c r="F10" i="14"/>
  <c r="T4" i="15" s="1"/>
  <c r="I6" i="15"/>
  <c r="A4" i="2" s="1"/>
  <c r="H7" i="15"/>
  <c r="J6" i="15"/>
  <c r="B4" i="2" s="1"/>
  <c r="D9" i="11"/>
  <c r="P9" i="11" s="1"/>
  <c r="D10" i="10"/>
  <c r="P10" i="10" s="1"/>
  <c r="D11" i="9"/>
  <c r="P11" i="9" s="1"/>
  <c r="D8" i="12"/>
  <c r="P8" i="12" s="1"/>
  <c r="P6" i="13"/>
  <c r="D7" i="13"/>
  <c r="D12" i="8"/>
  <c r="P12" i="8" s="1"/>
  <c r="D14" i="6"/>
  <c r="P14" i="6" s="1"/>
  <c r="F14" i="6"/>
  <c r="D16" i="5"/>
  <c r="P16" i="5" s="1"/>
  <c r="D16" i="4"/>
  <c r="P16" i="4" s="1"/>
  <c r="D16" i="3"/>
  <c r="P16" i="3" s="1"/>
  <c r="D15" i="2"/>
  <c r="P15" i="2" s="1"/>
  <c r="D14" i="1"/>
  <c r="P14" i="1" s="1"/>
  <c r="D14" i="7" l="1"/>
  <c r="P14" i="7" s="1"/>
  <c r="T37" i="20"/>
  <c r="G8" i="14"/>
  <c r="G50" i="21" s="1"/>
  <c r="I34" i="20"/>
  <c r="V28" i="20"/>
  <c r="L18" i="20"/>
  <c r="K27" i="20"/>
  <c r="J28" i="20"/>
  <c r="J29" i="20"/>
  <c r="J30" i="20" s="1"/>
  <c r="J31" i="20" s="1"/>
  <c r="U34" i="20"/>
  <c r="H35" i="20"/>
  <c r="H37" i="20" s="1"/>
  <c r="H4" i="14"/>
  <c r="G10" i="14"/>
  <c r="X4" i="15" s="1"/>
  <c r="N6" i="15"/>
  <c r="B4" i="3" s="1"/>
  <c r="M6" i="15"/>
  <c r="A4" i="3" s="1"/>
  <c r="L7" i="15"/>
  <c r="R5" i="15"/>
  <c r="B3" i="4" s="1"/>
  <c r="Q5" i="15"/>
  <c r="A3" i="4" s="1"/>
  <c r="P6" i="15"/>
  <c r="I7" i="15"/>
  <c r="A5" i="2" s="1"/>
  <c r="H8" i="15"/>
  <c r="J7" i="15"/>
  <c r="B5" i="2" s="1"/>
  <c r="V4" i="15"/>
  <c r="B2" i="5" s="1"/>
  <c r="U4" i="15"/>
  <c r="A2" i="5" s="1"/>
  <c r="T5" i="15"/>
  <c r="D12" i="9"/>
  <c r="P12" i="9" s="1"/>
  <c r="D11" i="10"/>
  <c r="P11" i="10" s="1"/>
  <c r="D13" i="8"/>
  <c r="P13" i="8" s="1"/>
  <c r="P7" i="13"/>
  <c r="D8" i="13"/>
  <c r="D9" i="12"/>
  <c r="P9" i="12" s="1"/>
  <c r="D10" i="11"/>
  <c r="P10" i="11" s="1"/>
  <c r="D15" i="6"/>
  <c r="P15" i="6" s="1"/>
  <c r="F15" i="6"/>
  <c r="D17" i="5"/>
  <c r="P17" i="5" s="1"/>
  <c r="D17" i="4"/>
  <c r="P17" i="4" s="1"/>
  <c r="D17" i="3"/>
  <c r="P17" i="3" s="1"/>
  <c r="D16" i="2"/>
  <c r="P16" i="2" s="1"/>
  <c r="D15" i="1"/>
  <c r="P15" i="1" s="1"/>
  <c r="D15" i="7" l="1"/>
  <c r="P15" i="7" s="1"/>
  <c r="J34" i="20"/>
  <c r="W28" i="20"/>
  <c r="V34" i="20"/>
  <c r="I35" i="20"/>
  <c r="I37" i="20" s="1"/>
  <c r="H8" i="14"/>
  <c r="H50" i="21" s="1"/>
  <c r="U37" i="20"/>
  <c r="K29" i="20"/>
  <c r="K30" i="20" s="1"/>
  <c r="K31" i="20" s="1"/>
  <c r="K28" i="20"/>
  <c r="L27" i="20"/>
  <c r="M18" i="20"/>
  <c r="N7" i="15"/>
  <c r="B5" i="3" s="1"/>
  <c r="L8" i="15"/>
  <c r="M7" i="15"/>
  <c r="A5" i="3" s="1"/>
  <c r="I4" i="14"/>
  <c r="H10" i="14"/>
  <c r="AB4" i="15" s="1"/>
  <c r="V5" i="15"/>
  <c r="B3" i="5" s="1"/>
  <c r="T6" i="15"/>
  <c r="U5" i="15"/>
  <c r="A3" i="5" s="1"/>
  <c r="I8" i="15"/>
  <c r="A6" i="2" s="1"/>
  <c r="H9" i="15"/>
  <c r="J8" i="15"/>
  <c r="B6" i="2" s="1"/>
  <c r="R6" i="15"/>
  <c r="B4" i="4" s="1"/>
  <c r="Q6" i="15"/>
  <c r="A4" i="4" s="1"/>
  <c r="P7" i="15"/>
  <c r="Z4" i="15"/>
  <c r="B2" i="6" s="1"/>
  <c r="X5" i="15"/>
  <c r="Y4" i="15"/>
  <c r="A2" i="6" s="1"/>
  <c r="D11" i="11"/>
  <c r="P11" i="11" s="1"/>
  <c r="D10" i="12"/>
  <c r="P10" i="12" s="1"/>
  <c r="P8" i="13"/>
  <c r="D9" i="13"/>
  <c r="D14" i="8"/>
  <c r="P14" i="8" s="1"/>
  <c r="D12" i="10"/>
  <c r="P12" i="10" s="1"/>
  <c r="D13" i="9"/>
  <c r="P13" i="9" s="1"/>
  <c r="D16" i="6"/>
  <c r="P16" i="6" s="1"/>
  <c r="F16" i="6"/>
  <c r="D18" i="5"/>
  <c r="P18" i="5" s="1"/>
  <c r="D18" i="4"/>
  <c r="P18" i="4" s="1"/>
  <c r="D18" i="3"/>
  <c r="P18" i="3" s="1"/>
  <c r="D17" i="2"/>
  <c r="P17" i="2" s="1"/>
  <c r="D16" i="1"/>
  <c r="P16" i="1" s="1"/>
  <c r="D16" i="7" l="1"/>
  <c r="P16" i="7" s="1"/>
  <c r="K34" i="20"/>
  <c r="X28" i="20"/>
  <c r="V37" i="20"/>
  <c r="I8" i="14"/>
  <c r="I50" i="21" s="1"/>
  <c r="N18" i="20"/>
  <c r="N27" i="20" s="1"/>
  <c r="M27" i="20"/>
  <c r="L29" i="20"/>
  <c r="L30" i="20" s="1"/>
  <c r="L31" i="20" s="1"/>
  <c r="L28" i="20"/>
  <c r="W34" i="20"/>
  <c r="J35" i="20"/>
  <c r="J37" i="20" s="1"/>
  <c r="U6" i="15"/>
  <c r="A4" i="5" s="1"/>
  <c r="T7" i="15"/>
  <c r="V6" i="15"/>
  <c r="B4" i="5" s="1"/>
  <c r="AC4" i="15"/>
  <c r="A2" i="7" s="1"/>
  <c r="AD4" i="15"/>
  <c r="B2" i="7" s="1"/>
  <c r="AB5" i="15"/>
  <c r="Z5" i="15"/>
  <c r="B3" i="6" s="1"/>
  <c r="X6" i="15"/>
  <c r="Y5" i="15"/>
  <c r="A3" i="6" s="1"/>
  <c r="Q7" i="15"/>
  <c r="A5" i="4" s="1"/>
  <c r="R7" i="15"/>
  <c r="B5" i="4" s="1"/>
  <c r="P8" i="15"/>
  <c r="I9" i="15"/>
  <c r="A7" i="2" s="1"/>
  <c r="H10" i="15"/>
  <c r="J9" i="15"/>
  <c r="B7" i="2" s="1"/>
  <c r="J4" i="14"/>
  <c r="I10" i="14"/>
  <c r="AF4" i="15" s="1"/>
  <c r="N8" i="15"/>
  <c r="B6" i="3" s="1"/>
  <c r="M8" i="15"/>
  <c r="A6" i="3" s="1"/>
  <c r="L9" i="15"/>
  <c r="D14" i="9"/>
  <c r="P14" i="9" s="1"/>
  <c r="D13" i="10"/>
  <c r="P13" i="10" s="1"/>
  <c r="D15" i="8"/>
  <c r="P15" i="8" s="1"/>
  <c r="P9" i="13"/>
  <c r="D10" i="13"/>
  <c r="D11" i="12"/>
  <c r="P11" i="12" s="1"/>
  <c r="D12" i="11"/>
  <c r="P12" i="11" s="1"/>
  <c r="D17" i="6"/>
  <c r="P17" i="6" s="1"/>
  <c r="F17" i="6"/>
  <c r="D19" i="5"/>
  <c r="P19" i="5" s="1"/>
  <c r="D19" i="4"/>
  <c r="P19" i="4" s="1"/>
  <c r="D19" i="3"/>
  <c r="P19" i="3" s="1"/>
  <c r="D18" i="2"/>
  <c r="P18" i="2" s="1"/>
  <c r="D17" i="1"/>
  <c r="P17" i="1" s="1"/>
  <c r="D17" i="7" l="1"/>
  <c r="P17" i="7" s="1"/>
  <c r="L34" i="20"/>
  <c r="Y28" i="20"/>
  <c r="J8" i="14"/>
  <c r="J50" i="21" s="1"/>
  <c r="W37" i="20"/>
  <c r="M28" i="20"/>
  <c r="M29" i="20"/>
  <c r="M30" i="20" s="1"/>
  <c r="M31" i="20" s="1"/>
  <c r="N29" i="20"/>
  <c r="N30" i="20" s="1"/>
  <c r="N31" i="20" s="1"/>
  <c r="N28" i="20"/>
  <c r="X34" i="20"/>
  <c r="K35" i="20"/>
  <c r="K37" i="20" s="1"/>
  <c r="AF5" i="15"/>
  <c r="AH4" i="15"/>
  <c r="B2" i="8" s="1"/>
  <c r="AG4" i="15"/>
  <c r="M9" i="15"/>
  <c r="A7" i="3" s="1"/>
  <c r="L10" i="15"/>
  <c r="N9" i="15"/>
  <c r="B7" i="3" s="1"/>
  <c r="K4" i="14"/>
  <c r="J10" i="14"/>
  <c r="AJ4" i="15" s="1"/>
  <c r="I10" i="15"/>
  <c r="A8" i="2" s="1"/>
  <c r="H11" i="15"/>
  <c r="J10" i="15"/>
  <c r="B8" i="2" s="1"/>
  <c r="R8" i="15"/>
  <c r="B6" i="4" s="1"/>
  <c r="P9" i="15"/>
  <c r="Q8" i="15"/>
  <c r="A6" i="4" s="1"/>
  <c r="Z6" i="15"/>
  <c r="B4" i="6" s="1"/>
  <c r="X7" i="15"/>
  <c r="Y6" i="15"/>
  <c r="A4" i="6" s="1"/>
  <c r="AC5" i="15"/>
  <c r="A3" i="7" s="1"/>
  <c r="AB6" i="15"/>
  <c r="AD5" i="15"/>
  <c r="B3" i="7" s="1"/>
  <c r="T8" i="15"/>
  <c r="U7" i="15"/>
  <c r="A5" i="5" s="1"/>
  <c r="V7" i="15"/>
  <c r="B5" i="5" s="1"/>
  <c r="D12" i="12"/>
  <c r="P12" i="12" s="1"/>
  <c r="P10" i="13"/>
  <c r="D11" i="13"/>
  <c r="D16" i="8"/>
  <c r="P16" i="8" s="1"/>
  <c r="D14" i="10"/>
  <c r="P14" i="10" s="1"/>
  <c r="D15" i="9"/>
  <c r="P15" i="9" s="1"/>
  <c r="D13" i="11"/>
  <c r="P13" i="11" s="1"/>
  <c r="D18" i="6"/>
  <c r="P18" i="6" s="1"/>
  <c r="F18" i="6"/>
  <c r="D20" i="5"/>
  <c r="P20" i="5" s="1"/>
  <c r="D20" i="4"/>
  <c r="P20" i="4" s="1"/>
  <c r="D20" i="3"/>
  <c r="P20" i="3" s="1"/>
  <c r="D19" i="2"/>
  <c r="P19" i="2" s="1"/>
  <c r="D18" i="1"/>
  <c r="P18" i="1" s="1"/>
  <c r="D18" i="7" l="1"/>
  <c r="P18" i="7" s="1"/>
  <c r="N34" i="20"/>
  <c r="AA28" i="20"/>
  <c r="K8" i="14"/>
  <c r="K50" i="21" s="1"/>
  <c r="X37" i="20"/>
  <c r="M34" i="20"/>
  <c r="Z28" i="20"/>
  <c r="Y34" i="20"/>
  <c r="L35" i="20"/>
  <c r="L37" i="20" s="1"/>
  <c r="V8" i="15"/>
  <c r="B6" i="5" s="1"/>
  <c r="T9" i="15"/>
  <c r="U8" i="15"/>
  <c r="A6" i="5" s="1"/>
  <c r="AC6" i="15"/>
  <c r="A4" i="7" s="1"/>
  <c r="AD6" i="15"/>
  <c r="B4" i="7" s="1"/>
  <c r="AB7" i="15"/>
  <c r="R9" i="15"/>
  <c r="B7" i="4" s="1"/>
  <c r="Q9" i="15"/>
  <c r="A7" i="4" s="1"/>
  <c r="P10" i="15"/>
  <c r="L4" i="14"/>
  <c r="K10" i="14"/>
  <c r="AN4" i="15" s="1"/>
  <c r="M10" i="15"/>
  <c r="A8" i="3" s="1"/>
  <c r="L11" i="15"/>
  <c r="N10" i="15"/>
  <c r="B8" i="3" s="1"/>
  <c r="AF6" i="15"/>
  <c r="AG5" i="15"/>
  <c r="A3" i="8" s="1"/>
  <c r="AH5" i="15"/>
  <c r="B3" i="8" s="1"/>
  <c r="Y7" i="15"/>
  <c r="A5" i="6" s="1"/>
  <c r="Z7" i="15"/>
  <c r="B5" i="6" s="1"/>
  <c r="X8" i="15"/>
  <c r="I11" i="15"/>
  <c r="A9" i="2" s="1"/>
  <c r="J11" i="15"/>
  <c r="B9" i="2" s="1"/>
  <c r="H12" i="15"/>
  <c r="AK4" i="15"/>
  <c r="A2" i="9" s="1"/>
  <c r="AL4" i="15"/>
  <c r="B2" i="9" s="1"/>
  <c r="AJ5" i="15"/>
  <c r="D14" i="11"/>
  <c r="P14" i="11" s="1"/>
  <c r="D16" i="9"/>
  <c r="P16" i="9" s="1"/>
  <c r="D15" i="10"/>
  <c r="P15" i="10" s="1"/>
  <c r="D17" i="8"/>
  <c r="P17" i="8" s="1"/>
  <c r="P11" i="13"/>
  <c r="D12" i="13"/>
  <c r="D13" i="12"/>
  <c r="P13" i="12" s="1"/>
  <c r="D19" i="6"/>
  <c r="P19" i="6" s="1"/>
  <c r="F19" i="6"/>
  <c r="D21" i="5"/>
  <c r="P21" i="5" s="1"/>
  <c r="D21" i="4"/>
  <c r="P21" i="4" s="1"/>
  <c r="D21" i="3"/>
  <c r="P21" i="3" s="1"/>
  <c r="D20" i="2"/>
  <c r="P20" i="2" s="1"/>
  <c r="D19" i="1"/>
  <c r="P19" i="1" s="1"/>
  <c r="D19" i="7" l="1"/>
  <c r="P19" i="7" s="1"/>
  <c r="Y37" i="20"/>
  <c r="L8" i="14"/>
  <c r="L50" i="21" s="1"/>
  <c r="Z34" i="20"/>
  <c r="M35" i="20"/>
  <c r="M37" i="20" s="1"/>
  <c r="N35" i="20"/>
  <c r="N37" i="20" s="1"/>
  <c r="B27" i="21" s="1"/>
  <c r="AA34" i="20"/>
  <c r="AK5" i="15"/>
  <c r="A3" i="9" s="1"/>
  <c r="AJ6" i="15"/>
  <c r="AL5" i="15"/>
  <c r="B3" i="9" s="1"/>
  <c r="Z8" i="15"/>
  <c r="B6" i="6" s="1"/>
  <c r="X9" i="15"/>
  <c r="Y8" i="15"/>
  <c r="A6" i="6" s="1"/>
  <c r="M4" i="14"/>
  <c r="L10" i="14"/>
  <c r="AR4" i="15" s="1"/>
  <c r="AC7" i="15"/>
  <c r="A5" i="7" s="1"/>
  <c r="AB8" i="15"/>
  <c r="AD7" i="15"/>
  <c r="B5" i="7" s="1"/>
  <c r="V9" i="15"/>
  <c r="B7" i="5" s="1"/>
  <c r="U9" i="15"/>
  <c r="A7" i="5" s="1"/>
  <c r="T10" i="15"/>
  <c r="I12" i="15"/>
  <c r="A10" i="2" s="1"/>
  <c r="J12" i="15"/>
  <c r="B10" i="2" s="1"/>
  <c r="H13" i="15"/>
  <c r="AF7" i="15"/>
  <c r="AG6" i="15"/>
  <c r="A4" i="8" s="1"/>
  <c r="AH6" i="15"/>
  <c r="B4" i="8" s="1"/>
  <c r="N11" i="15"/>
  <c r="B9" i="3" s="1"/>
  <c r="M11" i="15"/>
  <c r="A9" i="3" s="1"/>
  <c r="L12" i="15"/>
  <c r="AN5" i="15"/>
  <c r="AP4" i="15"/>
  <c r="B2" i="10" s="1"/>
  <c r="AO4" i="15"/>
  <c r="A2" i="10" s="1"/>
  <c r="Q10" i="15"/>
  <c r="A8" i="4" s="1"/>
  <c r="R10" i="15"/>
  <c r="B8" i="4" s="1"/>
  <c r="P11" i="15"/>
  <c r="D14" i="12"/>
  <c r="P14" i="12" s="1"/>
  <c r="P12" i="13"/>
  <c r="D13" i="13"/>
  <c r="D18" i="8"/>
  <c r="P18" i="8" s="1"/>
  <c r="D16" i="10"/>
  <c r="P16" i="10" s="1"/>
  <c r="D17" i="9"/>
  <c r="P17" i="9" s="1"/>
  <c r="D15" i="11"/>
  <c r="P15" i="11" s="1"/>
  <c r="D20" i="6"/>
  <c r="P20" i="6" s="1"/>
  <c r="F20" i="6"/>
  <c r="D22" i="5"/>
  <c r="P22" i="5" s="1"/>
  <c r="D22" i="4"/>
  <c r="P22" i="4" s="1"/>
  <c r="D22" i="3"/>
  <c r="P22" i="3" s="1"/>
  <c r="D21" i="2"/>
  <c r="P21" i="2" s="1"/>
  <c r="D20" i="1"/>
  <c r="P20" i="1" s="1"/>
  <c r="B28" i="21" l="1"/>
  <c r="D20" i="7"/>
  <c r="P20" i="7" s="1"/>
  <c r="Z37" i="20"/>
  <c r="M8" i="14"/>
  <c r="M50" i="21" s="1"/>
  <c r="N8" i="14"/>
  <c r="N50" i="21" s="1"/>
  <c r="AA37" i="20"/>
  <c r="R11" i="15"/>
  <c r="B9" i="4" s="1"/>
  <c r="P12" i="15"/>
  <c r="Q11" i="15"/>
  <c r="A9" i="4" s="1"/>
  <c r="N12" i="15"/>
  <c r="B10" i="3" s="1"/>
  <c r="M12" i="15"/>
  <c r="A10" i="3" s="1"/>
  <c r="L13" i="15"/>
  <c r="I13" i="15"/>
  <c r="A11" i="2" s="1"/>
  <c r="J13" i="15"/>
  <c r="B11" i="2" s="1"/>
  <c r="H14" i="15"/>
  <c r="N4" i="14"/>
  <c r="N10" i="14" s="1"/>
  <c r="AV4" i="15" s="1"/>
  <c r="M10" i="14"/>
  <c r="Z9" i="15"/>
  <c r="B7" i="6" s="1"/>
  <c r="X10" i="15"/>
  <c r="Y9" i="15"/>
  <c r="A7" i="6" s="1"/>
  <c r="AO5" i="15"/>
  <c r="A3" i="10" s="1"/>
  <c r="AN6" i="15"/>
  <c r="AP5" i="15"/>
  <c r="B3" i="10" s="1"/>
  <c r="AG7" i="15"/>
  <c r="A5" i="8" s="1"/>
  <c r="AH7" i="15"/>
  <c r="B5" i="8" s="1"/>
  <c r="AF8" i="15"/>
  <c r="U10" i="15"/>
  <c r="A8" i="5" s="1"/>
  <c r="V10" i="15"/>
  <c r="B8" i="5" s="1"/>
  <c r="T11" i="15"/>
  <c r="AD8" i="15"/>
  <c r="B6" i="7" s="1"/>
  <c r="AB9" i="15"/>
  <c r="AC8" i="15"/>
  <c r="A6" i="7" s="1"/>
  <c r="AS4" i="15"/>
  <c r="A2" i="11" s="1"/>
  <c r="AT4" i="15"/>
  <c r="B2" i="11" s="1"/>
  <c r="AR5" i="15"/>
  <c r="AL6" i="15"/>
  <c r="B4" i="9" s="1"/>
  <c r="AK6" i="15"/>
  <c r="A4" i="9" s="1"/>
  <c r="AJ7" i="15"/>
  <c r="D16" i="11"/>
  <c r="P16" i="11" s="1"/>
  <c r="D18" i="9"/>
  <c r="P18" i="9" s="1"/>
  <c r="D17" i="10"/>
  <c r="P17" i="10" s="1"/>
  <c r="D19" i="8"/>
  <c r="P19" i="8" s="1"/>
  <c r="P13" i="13"/>
  <c r="D14" i="13"/>
  <c r="D15" i="12"/>
  <c r="P15" i="12" s="1"/>
  <c r="D21" i="6"/>
  <c r="P21" i="6" s="1"/>
  <c r="F21" i="6"/>
  <c r="D23" i="5"/>
  <c r="P23" i="5" s="1"/>
  <c r="D23" i="4"/>
  <c r="P23" i="4" s="1"/>
  <c r="D23" i="3"/>
  <c r="P23" i="3" s="1"/>
  <c r="D22" i="2"/>
  <c r="P22" i="2" s="1"/>
  <c r="D21" i="1"/>
  <c r="P21" i="1" s="1"/>
  <c r="D21" i="7" l="1"/>
  <c r="P21" i="7" s="1"/>
  <c r="AT5" i="15"/>
  <c r="B3" i="11" s="1"/>
  <c r="AR6" i="15"/>
  <c r="AS5" i="15"/>
  <c r="A3" i="11" s="1"/>
  <c r="AC9" i="15"/>
  <c r="A7" i="7" s="1"/>
  <c r="AD9" i="15"/>
  <c r="B7" i="7" s="1"/>
  <c r="AB10" i="15"/>
  <c r="T12" i="15"/>
  <c r="U11" i="15"/>
  <c r="A9" i="5" s="1"/>
  <c r="V11" i="15"/>
  <c r="B9" i="5" s="1"/>
  <c r="Y10" i="15"/>
  <c r="A8" i="6" s="1"/>
  <c r="Z10" i="15"/>
  <c r="B8" i="6" s="1"/>
  <c r="X11" i="15"/>
  <c r="I14" i="15"/>
  <c r="A12" i="2" s="1"/>
  <c r="J14" i="15"/>
  <c r="B12" i="2" s="1"/>
  <c r="H15" i="15"/>
  <c r="AL7" i="15"/>
  <c r="B5" i="9" s="1"/>
  <c r="AK7" i="15"/>
  <c r="A5" i="9" s="1"/>
  <c r="AJ8" i="15"/>
  <c r="AF9" i="15"/>
  <c r="AH8" i="15"/>
  <c r="B6" i="8" s="1"/>
  <c r="AG8" i="15"/>
  <c r="A6" i="8" s="1"/>
  <c r="AP6" i="15"/>
  <c r="B4" i="10" s="1"/>
  <c r="AN7" i="15"/>
  <c r="AO6" i="15"/>
  <c r="A4" i="10" s="1"/>
  <c r="AW4" i="15"/>
  <c r="A2" i="12" s="1"/>
  <c r="AX4" i="15"/>
  <c r="B2" i="12" s="1"/>
  <c r="AV5" i="15"/>
  <c r="N13" i="15"/>
  <c r="B11" i="3" s="1"/>
  <c r="M13" i="15"/>
  <c r="A11" i="3" s="1"/>
  <c r="L14" i="15"/>
  <c r="R12" i="15"/>
  <c r="B10" i="4" s="1"/>
  <c r="P13" i="15"/>
  <c r="Q12" i="15"/>
  <c r="A10" i="4" s="1"/>
  <c r="D16" i="12"/>
  <c r="P16" i="12" s="1"/>
  <c r="P14" i="13"/>
  <c r="D15" i="13"/>
  <c r="D20" i="8"/>
  <c r="P20" i="8" s="1"/>
  <c r="D18" i="10"/>
  <c r="P18" i="10" s="1"/>
  <c r="D19" i="9"/>
  <c r="P19" i="9" s="1"/>
  <c r="D17" i="11"/>
  <c r="P17" i="11" s="1"/>
  <c r="D22" i="6"/>
  <c r="P22" i="6" s="1"/>
  <c r="F22" i="6"/>
  <c r="D24" i="5"/>
  <c r="P24" i="5" s="1"/>
  <c r="D24" i="4"/>
  <c r="P24" i="4" s="1"/>
  <c r="D24" i="3"/>
  <c r="P24" i="3" s="1"/>
  <c r="D23" i="2"/>
  <c r="P23" i="2" s="1"/>
  <c r="D22" i="1"/>
  <c r="P22" i="1" s="1"/>
  <c r="D22" i="7" l="1"/>
  <c r="P22" i="7" s="1"/>
  <c r="AV6" i="15"/>
  <c r="AX5" i="15"/>
  <c r="B3" i="12" s="1"/>
  <c r="AW5" i="15"/>
  <c r="A3" i="12" s="1"/>
  <c r="AN8" i="15"/>
  <c r="AP7" i="15"/>
  <c r="B5" i="10" s="1"/>
  <c r="AO7" i="15"/>
  <c r="A5" i="10" s="1"/>
  <c r="AG9" i="15"/>
  <c r="A7" i="8" s="1"/>
  <c r="AF10" i="15"/>
  <c r="AH9" i="15"/>
  <c r="B7" i="8" s="1"/>
  <c r="I15" i="15"/>
  <c r="A13" i="2" s="1"/>
  <c r="J15" i="15"/>
  <c r="B13" i="2" s="1"/>
  <c r="H16" i="15"/>
  <c r="V12" i="15"/>
  <c r="B10" i="5" s="1"/>
  <c r="U12" i="15"/>
  <c r="A10" i="5" s="1"/>
  <c r="T13" i="15"/>
  <c r="Q13" i="15"/>
  <c r="A11" i="4" s="1"/>
  <c r="P14" i="15"/>
  <c r="R13" i="15"/>
  <c r="B11" i="4" s="1"/>
  <c r="N14" i="15"/>
  <c r="B12" i="3" s="1"/>
  <c r="M14" i="15"/>
  <c r="A12" i="3" s="1"/>
  <c r="L15" i="15"/>
  <c r="AL8" i="15"/>
  <c r="B6" i="9" s="1"/>
  <c r="AK8" i="15"/>
  <c r="A6" i="9" s="1"/>
  <c r="AJ9" i="15"/>
  <c r="X12" i="15"/>
  <c r="Y11" i="15"/>
  <c r="A9" i="6" s="1"/>
  <c r="Z11" i="15"/>
  <c r="B9" i="6" s="1"/>
  <c r="AC10" i="15"/>
  <c r="A8" i="7" s="1"/>
  <c r="AD10" i="15"/>
  <c r="B8" i="7" s="1"/>
  <c r="AB11" i="15"/>
  <c r="AR7" i="15"/>
  <c r="AS6" i="15"/>
  <c r="A4" i="11" s="1"/>
  <c r="AT6" i="15"/>
  <c r="B4" i="11" s="1"/>
  <c r="D18" i="11"/>
  <c r="P18" i="11" s="1"/>
  <c r="D20" i="9"/>
  <c r="P20" i="9" s="1"/>
  <c r="D19" i="10"/>
  <c r="P19" i="10" s="1"/>
  <c r="D21" i="8"/>
  <c r="P21" i="8" s="1"/>
  <c r="D17" i="12"/>
  <c r="P17" i="12" s="1"/>
  <c r="P15" i="13"/>
  <c r="D16" i="13"/>
  <c r="D23" i="6"/>
  <c r="P23" i="6" s="1"/>
  <c r="D23" i="7"/>
  <c r="P23" i="7" s="1"/>
  <c r="F23" i="6"/>
  <c r="D25" i="5"/>
  <c r="P25" i="5" s="1"/>
  <c r="D25" i="4"/>
  <c r="P25" i="4" s="1"/>
  <c r="D25" i="3"/>
  <c r="P25" i="3" s="1"/>
  <c r="D24" i="2"/>
  <c r="P24" i="2" s="1"/>
  <c r="D23" i="1"/>
  <c r="P23" i="1" s="1"/>
  <c r="AT7" i="15" l="1"/>
  <c r="B5" i="11" s="1"/>
  <c r="AR8" i="15"/>
  <c r="AS7" i="15"/>
  <c r="A5" i="11" s="1"/>
  <c r="Z12" i="15"/>
  <c r="B10" i="6" s="1"/>
  <c r="Y12" i="15"/>
  <c r="A10" i="6" s="1"/>
  <c r="X13" i="15"/>
  <c r="N15" i="15"/>
  <c r="B13" i="3" s="1"/>
  <c r="M15" i="15"/>
  <c r="A13" i="3" s="1"/>
  <c r="L16" i="15"/>
  <c r="R14" i="15"/>
  <c r="B12" i="4" s="1"/>
  <c r="P15" i="15"/>
  <c r="Q14" i="15"/>
  <c r="A12" i="4" s="1"/>
  <c r="U13" i="15"/>
  <c r="A11" i="5" s="1"/>
  <c r="T14" i="15"/>
  <c r="V13" i="15"/>
  <c r="B11" i="5" s="1"/>
  <c r="AV7" i="15"/>
  <c r="AW6" i="15"/>
  <c r="A4" i="12" s="1"/>
  <c r="AX6" i="15"/>
  <c r="B4" i="12" s="1"/>
  <c r="AC11" i="15"/>
  <c r="A9" i="7" s="1"/>
  <c r="AB12" i="15"/>
  <c r="AD11" i="15"/>
  <c r="B9" i="7" s="1"/>
  <c r="AJ10" i="15"/>
  <c r="AK9" i="15"/>
  <c r="A7" i="9" s="1"/>
  <c r="AL9" i="15"/>
  <c r="B7" i="9" s="1"/>
  <c r="I16" i="15"/>
  <c r="A14" i="2" s="1"/>
  <c r="J16" i="15"/>
  <c r="B14" i="2" s="1"/>
  <c r="H17" i="15"/>
  <c r="AG10" i="15"/>
  <c r="A8" i="8" s="1"/>
  <c r="AF11" i="15"/>
  <c r="AH10" i="15"/>
  <c r="B8" i="8" s="1"/>
  <c r="AP8" i="15"/>
  <c r="B6" i="10" s="1"/>
  <c r="AO8" i="15"/>
  <c r="A6" i="10" s="1"/>
  <c r="AN9" i="15"/>
  <c r="P16" i="13"/>
  <c r="D17" i="13"/>
  <c r="D18" i="12"/>
  <c r="P18" i="12" s="1"/>
  <c r="D22" i="8"/>
  <c r="P22" i="8" s="1"/>
  <c r="D20" i="10"/>
  <c r="P20" i="10" s="1"/>
  <c r="D21" i="9"/>
  <c r="P21" i="9" s="1"/>
  <c r="D19" i="11"/>
  <c r="P19" i="11" s="1"/>
  <c r="D24" i="7"/>
  <c r="P24" i="7" s="1"/>
  <c r="D24" i="6"/>
  <c r="P24" i="6" s="1"/>
  <c r="F24" i="6"/>
  <c r="D26" i="5"/>
  <c r="P26" i="5" s="1"/>
  <c r="D26" i="4"/>
  <c r="P26" i="4" s="1"/>
  <c r="D26" i="3"/>
  <c r="P26" i="3" s="1"/>
  <c r="D25" i="2"/>
  <c r="P25" i="2" s="1"/>
  <c r="D24" i="1"/>
  <c r="P24" i="1" s="1"/>
  <c r="AP9" i="15" l="1"/>
  <c r="B7" i="10" s="1"/>
  <c r="AO9" i="15"/>
  <c r="A7" i="10" s="1"/>
  <c r="AN10" i="15"/>
  <c r="AF12" i="15"/>
  <c r="AH11" i="15"/>
  <c r="B9" i="8" s="1"/>
  <c r="AG11" i="15"/>
  <c r="A9" i="8" s="1"/>
  <c r="I17" i="15"/>
  <c r="A15" i="2" s="1"/>
  <c r="J17" i="15"/>
  <c r="B15" i="2" s="1"/>
  <c r="H18" i="15"/>
  <c r="Q15" i="15"/>
  <c r="A13" i="4" s="1"/>
  <c r="P16" i="15"/>
  <c r="R15" i="15"/>
  <c r="B13" i="4" s="1"/>
  <c r="N16" i="15"/>
  <c r="B14" i="3" s="1"/>
  <c r="M16" i="15"/>
  <c r="A14" i="3" s="1"/>
  <c r="L17" i="15"/>
  <c r="AK10" i="15"/>
  <c r="A8" i="9" s="1"/>
  <c r="AL10" i="15"/>
  <c r="B8" i="9" s="1"/>
  <c r="AJ11" i="15"/>
  <c r="AD12" i="15"/>
  <c r="B10" i="7" s="1"/>
  <c r="AC12" i="15"/>
  <c r="A10" i="7" s="1"/>
  <c r="AB13" i="15"/>
  <c r="AW7" i="15"/>
  <c r="A5" i="12" s="1"/>
  <c r="AV8" i="15"/>
  <c r="AX7" i="15"/>
  <c r="B5" i="12" s="1"/>
  <c r="T15" i="15"/>
  <c r="V14" i="15"/>
  <c r="B12" i="5" s="1"/>
  <c r="U14" i="15"/>
  <c r="A12" i="5" s="1"/>
  <c r="Y13" i="15"/>
  <c r="A11" i="6" s="1"/>
  <c r="Z13" i="15"/>
  <c r="B11" i="6" s="1"/>
  <c r="X14" i="15"/>
  <c r="AT8" i="15"/>
  <c r="B6" i="11" s="1"/>
  <c r="AS8" i="15"/>
  <c r="A6" i="11" s="1"/>
  <c r="AR9" i="15"/>
  <c r="D20" i="11"/>
  <c r="P20" i="11" s="1"/>
  <c r="D22" i="9"/>
  <c r="P22" i="9" s="1"/>
  <c r="D21" i="10"/>
  <c r="P21" i="10" s="1"/>
  <c r="D19" i="12"/>
  <c r="P19" i="12" s="1"/>
  <c r="D23" i="8"/>
  <c r="P23" i="8" s="1"/>
  <c r="P17" i="13"/>
  <c r="D18" i="13"/>
  <c r="D25" i="6"/>
  <c r="P25" i="6" s="1"/>
  <c r="D25" i="7"/>
  <c r="P25" i="7" s="1"/>
  <c r="F25" i="6"/>
  <c r="D27" i="5"/>
  <c r="P27" i="5" s="1"/>
  <c r="D27" i="4"/>
  <c r="P27" i="4" s="1"/>
  <c r="D27" i="3"/>
  <c r="P27" i="3" s="1"/>
  <c r="D26" i="2"/>
  <c r="P26" i="2" s="1"/>
  <c r="D25" i="1"/>
  <c r="P25" i="1" s="1"/>
  <c r="AS9" i="15" l="1"/>
  <c r="A7" i="11" s="1"/>
  <c r="AT9" i="15"/>
  <c r="B7" i="11" s="1"/>
  <c r="AR10" i="15"/>
  <c r="T16" i="15"/>
  <c r="U15" i="15"/>
  <c r="A13" i="5" s="1"/>
  <c r="V15" i="15"/>
  <c r="B13" i="5" s="1"/>
  <c r="AX8" i="15"/>
  <c r="B6" i="12" s="1"/>
  <c r="AV9" i="15"/>
  <c r="AW8" i="15"/>
  <c r="A6" i="12" s="1"/>
  <c r="AD13" i="15"/>
  <c r="B11" i="7" s="1"/>
  <c r="AC13" i="15"/>
  <c r="A11" i="7" s="1"/>
  <c r="AB14" i="15"/>
  <c r="N17" i="15"/>
  <c r="B15" i="3" s="1"/>
  <c r="M17" i="15"/>
  <c r="A15" i="3" s="1"/>
  <c r="L18" i="15"/>
  <c r="R16" i="15"/>
  <c r="B14" i="4" s="1"/>
  <c r="P17" i="15"/>
  <c r="Q16" i="15"/>
  <c r="A14" i="4" s="1"/>
  <c r="I18" i="15"/>
  <c r="A16" i="2" s="1"/>
  <c r="J18" i="15"/>
  <c r="B16" i="2" s="1"/>
  <c r="H19" i="15"/>
  <c r="AP10" i="15"/>
  <c r="B8" i="10" s="1"/>
  <c r="AO10" i="15"/>
  <c r="A8" i="10" s="1"/>
  <c r="AN11" i="15"/>
  <c r="Z14" i="15"/>
  <c r="B12" i="6" s="1"/>
  <c r="X15" i="15"/>
  <c r="Y14" i="15"/>
  <c r="A12" i="6" s="1"/>
  <c r="AL11" i="15"/>
  <c r="B9" i="9" s="1"/>
  <c r="AK11" i="15"/>
  <c r="A9" i="9" s="1"/>
  <c r="AJ12" i="15"/>
  <c r="AG12" i="15"/>
  <c r="A10" i="8" s="1"/>
  <c r="AH12" i="15"/>
  <c r="B10" i="8" s="1"/>
  <c r="AF13" i="15"/>
  <c r="P18" i="13"/>
  <c r="D19" i="13"/>
  <c r="D24" i="8"/>
  <c r="P24" i="8" s="1"/>
  <c r="D20" i="12"/>
  <c r="P20" i="12" s="1"/>
  <c r="D22" i="10"/>
  <c r="P22" i="10" s="1"/>
  <c r="D23" i="9"/>
  <c r="P23" i="9" s="1"/>
  <c r="D21" i="11"/>
  <c r="P21" i="11" s="1"/>
  <c r="D26" i="7"/>
  <c r="P26" i="7" s="1"/>
  <c r="D26" i="6"/>
  <c r="P26" i="6" s="1"/>
  <c r="F26" i="6"/>
  <c r="D28" i="5"/>
  <c r="P28" i="5" s="1"/>
  <c r="D28" i="4"/>
  <c r="P28" i="4" s="1"/>
  <c r="D28" i="3"/>
  <c r="P28" i="3" s="1"/>
  <c r="D27" i="2"/>
  <c r="P27" i="2" s="1"/>
  <c r="D26" i="1"/>
  <c r="P26" i="1" s="1"/>
  <c r="AH13" i="15" l="1"/>
  <c r="B11" i="8" s="1"/>
  <c r="AF14" i="15"/>
  <c r="AG13" i="15"/>
  <c r="A11" i="8" s="1"/>
  <c r="I19" i="15"/>
  <c r="A17" i="2" s="1"/>
  <c r="H20" i="15"/>
  <c r="J19" i="15"/>
  <c r="B17" i="2" s="1"/>
  <c r="Q17" i="15"/>
  <c r="A15" i="4" s="1"/>
  <c r="P18" i="15"/>
  <c r="R17" i="15"/>
  <c r="B15" i="4" s="1"/>
  <c r="N18" i="15"/>
  <c r="B16" i="3" s="1"/>
  <c r="M18" i="15"/>
  <c r="A16" i="3" s="1"/>
  <c r="L19" i="15"/>
  <c r="AT10" i="15"/>
  <c r="B8" i="11" s="1"/>
  <c r="AS10" i="15"/>
  <c r="A8" i="11" s="1"/>
  <c r="AR11" i="15"/>
  <c r="AK12" i="15"/>
  <c r="A10" i="9" s="1"/>
  <c r="AL12" i="15"/>
  <c r="B10" i="9" s="1"/>
  <c r="AJ13" i="15"/>
  <c r="Z15" i="15"/>
  <c r="B13" i="6" s="1"/>
  <c r="X16" i="15"/>
  <c r="Y15" i="15"/>
  <c r="A13" i="6" s="1"/>
  <c r="AP11" i="15"/>
  <c r="B9" i="10" s="1"/>
  <c r="AO11" i="15"/>
  <c r="A9" i="10" s="1"/>
  <c r="AN12" i="15"/>
  <c r="AB15" i="15"/>
  <c r="AC14" i="15"/>
  <c r="A12" i="7" s="1"/>
  <c r="AD14" i="15"/>
  <c r="B12" i="7" s="1"/>
  <c r="AX9" i="15"/>
  <c r="B7" i="12" s="1"/>
  <c r="AV10" i="15"/>
  <c r="AW9" i="15"/>
  <c r="A7" i="12" s="1"/>
  <c r="U16" i="15"/>
  <c r="A14" i="5" s="1"/>
  <c r="V16" i="15"/>
  <c r="B14" i="5" s="1"/>
  <c r="T17" i="15"/>
  <c r="D22" i="11"/>
  <c r="P22" i="11" s="1"/>
  <c r="D23" i="10"/>
  <c r="P23" i="10" s="1"/>
  <c r="D21" i="12"/>
  <c r="P21" i="12" s="1"/>
  <c r="D25" i="8"/>
  <c r="P25" i="8" s="1"/>
  <c r="D24" i="9"/>
  <c r="P24" i="9" s="1"/>
  <c r="P19" i="13"/>
  <c r="D20" i="13"/>
  <c r="D27" i="6"/>
  <c r="P27" i="6" s="1"/>
  <c r="D27" i="7"/>
  <c r="P27" i="7" s="1"/>
  <c r="F27" i="6"/>
  <c r="D29" i="5"/>
  <c r="P29" i="5" s="1"/>
  <c r="D29" i="4"/>
  <c r="P29" i="4" s="1"/>
  <c r="D29" i="3"/>
  <c r="P29" i="3" s="1"/>
  <c r="D28" i="2"/>
  <c r="P28" i="2" s="1"/>
  <c r="D27" i="1"/>
  <c r="P27" i="1" s="1"/>
  <c r="T18" i="15" l="1"/>
  <c r="V17" i="15"/>
  <c r="B15" i="5" s="1"/>
  <c r="U17" i="15"/>
  <c r="A15" i="5" s="1"/>
  <c r="AV11" i="15"/>
  <c r="AW10" i="15"/>
  <c r="A8" i="12" s="1"/>
  <c r="AX10" i="15"/>
  <c r="B8" i="12" s="1"/>
  <c r="AB16" i="15"/>
  <c r="AC15" i="15"/>
  <c r="A13" i="7" s="1"/>
  <c r="AD15" i="15"/>
  <c r="B13" i="7" s="1"/>
  <c r="AS11" i="15"/>
  <c r="A9" i="11" s="1"/>
  <c r="AR12" i="15"/>
  <c r="AT11" i="15"/>
  <c r="B9" i="11" s="1"/>
  <c r="I20" i="15"/>
  <c r="A18" i="2" s="1"/>
  <c r="J20" i="15"/>
  <c r="B18" i="2" s="1"/>
  <c r="H21" i="15"/>
  <c r="AO12" i="15"/>
  <c r="A10" i="10" s="1"/>
  <c r="AN13" i="15"/>
  <c r="AP12" i="15"/>
  <c r="B10" i="10" s="1"/>
  <c r="Z16" i="15"/>
  <c r="B14" i="6" s="1"/>
  <c r="Y16" i="15"/>
  <c r="A14" i="6" s="1"/>
  <c r="X17" i="15"/>
  <c r="AK13" i="15"/>
  <c r="A11" i="9" s="1"/>
  <c r="AL13" i="15"/>
  <c r="B11" i="9" s="1"/>
  <c r="AJ14" i="15"/>
  <c r="M19" i="15"/>
  <c r="A17" i="3" s="1"/>
  <c r="L20" i="15"/>
  <c r="N19" i="15"/>
  <c r="B17" i="3" s="1"/>
  <c r="R18" i="15"/>
  <c r="B16" i="4" s="1"/>
  <c r="P19" i="15"/>
  <c r="Q18" i="15"/>
  <c r="A16" i="4" s="1"/>
  <c r="AH14" i="15"/>
  <c r="B12" i="8" s="1"/>
  <c r="AG14" i="15"/>
  <c r="A12" i="8" s="1"/>
  <c r="AF15" i="15"/>
  <c r="P20" i="13"/>
  <c r="D21" i="13"/>
  <c r="D25" i="9"/>
  <c r="P25" i="9" s="1"/>
  <c r="D26" i="8"/>
  <c r="P26" i="8" s="1"/>
  <c r="D22" i="12"/>
  <c r="P22" i="12" s="1"/>
  <c r="D24" i="10"/>
  <c r="P24" i="10" s="1"/>
  <c r="D23" i="11"/>
  <c r="P23" i="11" s="1"/>
  <c r="D28" i="7"/>
  <c r="P28" i="7" s="1"/>
  <c r="D28" i="6"/>
  <c r="P28" i="6" s="1"/>
  <c r="F28" i="6"/>
  <c r="D30" i="5"/>
  <c r="P30" i="5" s="1"/>
  <c r="D30" i="4"/>
  <c r="P30" i="4" s="1"/>
  <c r="D30" i="3"/>
  <c r="P30" i="3" s="1"/>
  <c r="D29" i="2"/>
  <c r="P29" i="2" s="1"/>
  <c r="D28" i="1"/>
  <c r="P28" i="1" s="1"/>
  <c r="N20" i="15" l="1"/>
  <c r="B18" i="3" s="1"/>
  <c r="M20" i="15"/>
  <c r="A18" i="3" s="1"/>
  <c r="L21" i="15"/>
  <c r="AK14" i="15"/>
  <c r="A12" i="9" s="1"/>
  <c r="AL14" i="15"/>
  <c r="B12" i="9" s="1"/>
  <c r="AJ15" i="15"/>
  <c r="AV12" i="15"/>
  <c r="AW11" i="15"/>
  <c r="A9" i="12" s="1"/>
  <c r="AX11" i="15"/>
  <c r="B9" i="12" s="1"/>
  <c r="AG15" i="15"/>
  <c r="A13" i="8" s="1"/>
  <c r="AH15" i="15"/>
  <c r="B13" i="8" s="1"/>
  <c r="AF16" i="15"/>
  <c r="R19" i="15"/>
  <c r="B17" i="4" s="1"/>
  <c r="Q19" i="15"/>
  <c r="A17" i="4" s="1"/>
  <c r="P20" i="15"/>
  <c r="X18" i="15"/>
  <c r="Y17" i="15"/>
  <c r="A15" i="6" s="1"/>
  <c r="Z17" i="15"/>
  <c r="B15" i="6" s="1"/>
  <c r="AP13" i="15"/>
  <c r="B11" i="10" s="1"/>
  <c r="AN14" i="15"/>
  <c r="AO13" i="15"/>
  <c r="A11" i="10" s="1"/>
  <c r="I21" i="15"/>
  <c r="A19" i="2" s="1"/>
  <c r="H22" i="15"/>
  <c r="J21" i="15"/>
  <c r="B19" i="2" s="1"/>
  <c r="AR13" i="15"/>
  <c r="AT12" i="15"/>
  <c r="B10" i="11" s="1"/>
  <c r="AS12" i="15"/>
  <c r="A10" i="11" s="1"/>
  <c r="AB17" i="15"/>
  <c r="AC16" i="15"/>
  <c r="A14" i="7" s="1"/>
  <c r="AD16" i="15"/>
  <c r="B14" i="7" s="1"/>
  <c r="T19" i="15"/>
  <c r="V18" i="15"/>
  <c r="B16" i="5" s="1"/>
  <c r="U18" i="15"/>
  <c r="A16" i="5" s="1"/>
  <c r="D24" i="11"/>
  <c r="P24" i="11" s="1"/>
  <c r="D25" i="10"/>
  <c r="P25" i="10" s="1"/>
  <c r="D23" i="12"/>
  <c r="P23" i="12" s="1"/>
  <c r="D27" i="8"/>
  <c r="P27" i="8" s="1"/>
  <c r="D26" i="9"/>
  <c r="P26" i="9" s="1"/>
  <c r="P21" i="13"/>
  <c r="D22" i="13"/>
  <c r="D29" i="6"/>
  <c r="P29" i="6" s="1"/>
  <c r="D29" i="7"/>
  <c r="P29" i="7" s="1"/>
  <c r="F29" i="6"/>
  <c r="D31" i="5"/>
  <c r="P31" i="5" s="1"/>
  <c r="D31" i="4"/>
  <c r="P31" i="4" s="1"/>
  <c r="D31" i="3"/>
  <c r="P31" i="3" s="1"/>
  <c r="D30" i="2"/>
  <c r="P30" i="2" s="1"/>
  <c r="D29" i="1"/>
  <c r="P29" i="1" s="1"/>
  <c r="AC17" i="15" l="1"/>
  <c r="A15" i="7" s="1"/>
  <c r="AB18" i="15"/>
  <c r="AD17" i="15"/>
  <c r="B15" i="7" s="1"/>
  <c r="AO14" i="15"/>
  <c r="A12" i="10" s="1"/>
  <c r="AN15" i="15"/>
  <c r="AP14" i="15"/>
  <c r="B12" i="10" s="1"/>
  <c r="Z18" i="15"/>
  <c r="B16" i="6" s="1"/>
  <c r="X19" i="15"/>
  <c r="Y18" i="15"/>
  <c r="A16" i="6" s="1"/>
  <c r="AG16" i="15"/>
  <c r="A14" i="8" s="1"/>
  <c r="AF17" i="15"/>
  <c r="AH16" i="15"/>
  <c r="B14" i="8" s="1"/>
  <c r="AJ16" i="15"/>
  <c r="AK15" i="15"/>
  <c r="A13" i="9" s="1"/>
  <c r="AL15" i="15"/>
  <c r="B13" i="9" s="1"/>
  <c r="V19" i="15"/>
  <c r="B17" i="5" s="1"/>
  <c r="U19" i="15"/>
  <c r="A17" i="5" s="1"/>
  <c r="T20" i="15"/>
  <c r="AT13" i="15"/>
  <c r="B11" i="11" s="1"/>
  <c r="AR14" i="15"/>
  <c r="AS13" i="15"/>
  <c r="A11" i="11" s="1"/>
  <c r="I22" i="15"/>
  <c r="A20" i="2" s="1"/>
  <c r="J22" i="15"/>
  <c r="B20" i="2" s="1"/>
  <c r="H23" i="15"/>
  <c r="Q20" i="15"/>
  <c r="A18" i="4" s="1"/>
  <c r="R20" i="15"/>
  <c r="B18" i="4" s="1"/>
  <c r="P21" i="15"/>
  <c r="AW12" i="15"/>
  <c r="A10" i="12" s="1"/>
  <c r="AX12" i="15"/>
  <c r="B10" i="12" s="1"/>
  <c r="AV13" i="15"/>
  <c r="M21" i="15"/>
  <c r="A19" i="3" s="1"/>
  <c r="L22" i="15"/>
  <c r="N21" i="15"/>
  <c r="B19" i="3" s="1"/>
  <c r="P22" i="13"/>
  <c r="D23" i="13"/>
  <c r="D27" i="9"/>
  <c r="P27" i="9" s="1"/>
  <c r="D28" i="8"/>
  <c r="P28" i="8" s="1"/>
  <c r="D24" i="12"/>
  <c r="P24" i="12" s="1"/>
  <c r="D26" i="10"/>
  <c r="P26" i="10" s="1"/>
  <c r="D25" i="11"/>
  <c r="P25" i="11" s="1"/>
  <c r="D30" i="7"/>
  <c r="P30" i="7" s="1"/>
  <c r="D30" i="6"/>
  <c r="P30" i="6" s="1"/>
  <c r="F30" i="6"/>
  <c r="D31" i="2"/>
  <c r="P31" i="2" s="1"/>
  <c r="D30" i="1"/>
  <c r="P30" i="1" s="1"/>
  <c r="N22" i="15" l="1"/>
  <c r="B20" i="3" s="1"/>
  <c r="M22" i="15"/>
  <c r="A20" i="3" s="1"/>
  <c r="L23" i="15"/>
  <c r="AV14" i="15"/>
  <c r="AX13" i="15"/>
  <c r="B11" i="12" s="1"/>
  <c r="AW13" i="15"/>
  <c r="A11" i="12" s="1"/>
  <c r="I23" i="15"/>
  <c r="A21" i="2" s="1"/>
  <c r="J23" i="15"/>
  <c r="B21" i="2" s="1"/>
  <c r="H24" i="15"/>
  <c r="AS14" i="15"/>
  <c r="A12" i="11" s="1"/>
  <c r="AR15" i="15"/>
  <c r="AT14" i="15"/>
  <c r="B12" i="11" s="1"/>
  <c r="V20" i="15"/>
  <c r="B18" i="5" s="1"/>
  <c r="U20" i="15"/>
  <c r="A18" i="5" s="1"/>
  <c r="T21" i="15"/>
  <c r="Z19" i="15"/>
  <c r="B17" i="6" s="1"/>
  <c r="X20" i="15"/>
  <c r="Y19" i="15"/>
  <c r="A17" i="6" s="1"/>
  <c r="AB19" i="15"/>
  <c r="AC18" i="15"/>
  <c r="A16" i="7" s="1"/>
  <c r="AD18" i="15"/>
  <c r="B16" i="7" s="1"/>
  <c r="Q21" i="15"/>
  <c r="A19" i="4" s="1"/>
  <c r="R21" i="15"/>
  <c r="B19" i="4" s="1"/>
  <c r="P22" i="15"/>
  <c r="AJ17" i="15"/>
  <c r="AK16" i="15"/>
  <c r="A14" i="9" s="1"/>
  <c r="AL16" i="15"/>
  <c r="B14" i="9" s="1"/>
  <c r="AF18" i="15"/>
  <c r="AG17" i="15"/>
  <c r="A15" i="8" s="1"/>
  <c r="AH17" i="15"/>
  <c r="B15" i="8" s="1"/>
  <c r="AN16" i="15"/>
  <c r="AP15" i="15"/>
  <c r="B13" i="10" s="1"/>
  <c r="AO15" i="15"/>
  <c r="A13" i="10" s="1"/>
  <c r="D26" i="11"/>
  <c r="P26" i="11" s="1"/>
  <c r="D27" i="10"/>
  <c r="P27" i="10" s="1"/>
  <c r="D25" i="12"/>
  <c r="P25" i="12" s="1"/>
  <c r="D29" i="8"/>
  <c r="P29" i="8" s="1"/>
  <c r="D28" i="9"/>
  <c r="P28" i="9" s="1"/>
  <c r="P23" i="13"/>
  <c r="D24" i="13"/>
  <c r="D31" i="6"/>
  <c r="P31" i="6" s="1"/>
  <c r="D31" i="7"/>
  <c r="P31" i="7" s="1"/>
  <c r="F31" i="6"/>
  <c r="D31" i="1"/>
  <c r="P31" i="1" s="1"/>
  <c r="AH18" i="15" l="1"/>
  <c r="B16" i="8" s="1"/>
  <c r="AF19" i="15"/>
  <c r="AG18" i="15"/>
  <c r="A16" i="8" s="1"/>
  <c r="Q22" i="15"/>
  <c r="A20" i="4" s="1"/>
  <c r="R22" i="15"/>
  <c r="B20" i="4" s="1"/>
  <c r="P23" i="15"/>
  <c r="AO16" i="15"/>
  <c r="A14" i="10" s="1"/>
  <c r="AN17" i="15"/>
  <c r="AP16" i="15"/>
  <c r="B14" i="10" s="1"/>
  <c r="AK17" i="15"/>
  <c r="A15" i="9" s="1"/>
  <c r="AJ18" i="15"/>
  <c r="AL17" i="15"/>
  <c r="B15" i="9" s="1"/>
  <c r="AD19" i="15"/>
  <c r="B17" i="7" s="1"/>
  <c r="AC19" i="15"/>
  <c r="A17" i="7" s="1"/>
  <c r="AB20" i="15"/>
  <c r="Z20" i="15"/>
  <c r="B18" i="6" s="1"/>
  <c r="X21" i="15"/>
  <c r="Y20" i="15"/>
  <c r="A18" i="6" s="1"/>
  <c r="V21" i="15"/>
  <c r="B19" i="5" s="1"/>
  <c r="U21" i="15"/>
  <c r="A19" i="5" s="1"/>
  <c r="T22" i="15"/>
  <c r="AT15" i="15"/>
  <c r="B13" i="11" s="1"/>
  <c r="AS15" i="15"/>
  <c r="A13" i="11" s="1"/>
  <c r="AR16" i="15"/>
  <c r="I24" i="15"/>
  <c r="A22" i="2" s="1"/>
  <c r="J24" i="15"/>
  <c r="B22" i="2" s="1"/>
  <c r="H25" i="15"/>
  <c r="M23" i="15"/>
  <c r="A21" i="3" s="1"/>
  <c r="L24" i="15"/>
  <c r="N23" i="15"/>
  <c r="B21" i="3" s="1"/>
  <c r="AV15" i="15"/>
  <c r="AW14" i="15"/>
  <c r="A12" i="12" s="1"/>
  <c r="AX14" i="15"/>
  <c r="B12" i="12" s="1"/>
  <c r="P24" i="13"/>
  <c r="D25" i="13"/>
  <c r="D29" i="9"/>
  <c r="P29" i="9" s="1"/>
  <c r="D30" i="8"/>
  <c r="P30" i="8" s="1"/>
  <c r="D26" i="12"/>
  <c r="P26" i="12" s="1"/>
  <c r="D28" i="10"/>
  <c r="P28" i="10" s="1"/>
  <c r="D27" i="11"/>
  <c r="P27" i="11" s="1"/>
  <c r="A2" i="8"/>
  <c r="AX15" i="15" l="1"/>
  <c r="B13" i="12" s="1"/>
  <c r="AV16" i="15"/>
  <c r="AW15" i="15"/>
  <c r="A13" i="12" s="1"/>
  <c r="N24" i="15"/>
  <c r="B22" i="3" s="1"/>
  <c r="M24" i="15"/>
  <c r="A22" i="3" s="1"/>
  <c r="L25" i="15"/>
  <c r="I25" i="15"/>
  <c r="A23" i="2" s="1"/>
  <c r="H26" i="15"/>
  <c r="J25" i="15"/>
  <c r="B23" i="2" s="1"/>
  <c r="V22" i="15"/>
  <c r="B20" i="5" s="1"/>
  <c r="T23" i="15"/>
  <c r="U22" i="15"/>
  <c r="A20" i="5" s="1"/>
  <c r="X22" i="15"/>
  <c r="Y21" i="15"/>
  <c r="A19" i="6" s="1"/>
  <c r="Z21" i="15"/>
  <c r="B19" i="6" s="1"/>
  <c r="AB21" i="15"/>
  <c r="AC20" i="15"/>
  <c r="A18" i="7" s="1"/>
  <c r="AD20" i="15"/>
  <c r="B18" i="7" s="1"/>
  <c r="AK18" i="15"/>
  <c r="A16" i="9" s="1"/>
  <c r="AL18" i="15"/>
  <c r="B16" i="9" s="1"/>
  <c r="AJ19" i="15"/>
  <c r="AS16" i="15"/>
  <c r="A14" i="11" s="1"/>
  <c r="AR17" i="15"/>
  <c r="AT16" i="15"/>
  <c r="B14" i="11" s="1"/>
  <c r="AN18" i="15"/>
  <c r="AO17" i="15"/>
  <c r="A15" i="10" s="1"/>
  <c r="AP17" i="15"/>
  <c r="B15" i="10" s="1"/>
  <c r="Q23" i="15"/>
  <c r="A21" i="4" s="1"/>
  <c r="R23" i="15"/>
  <c r="B21" i="4" s="1"/>
  <c r="P24" i="15"/>
  <c r="AF20" i="15"/>
  <c r="AG19" i="15"/>
  <c r="A17" i="8" s="1"/>
  <c r="AH19" i="15"/>
  <c r="B17" i="8" s="1"/>
  <c r="D28" i="11"/>
  <c r="P28" i="11" s="1"/>
  <c r="D29" i="10"/>
  <c r="P29" i="10" s="1"/>
  <c r="D27" i="12"/>
  <c r="P27" i="12" s="1"/>
  <c r="D31" i="8"/>
  <c r="P31" i="8" s="1"/>
  <c r="D30" i="9"/>
  <c r="P30" i="9" s="1"/>
  <c r="P25" i="13"/>
  <c r="D26" i="13"/>
  <c r="R24" i="15" l="1"/>
  <c r="B22" i="4" s="1"/>
  <c r="P25" i="15"/>
  <c r="Q24" i="15"/>
  <c r="A22" i="4" s="1"/>
  <c r="AG20" i="15"/>
  <c r="A18" i="8" s="1"/>
  <c r="AF21" i="15"/>
  <c r="AH20" i="15"/>
  <c r="B18" i="8" s="1"/>
  <c r="AO18" i="15"/>
  <c r="A16" i="10" s="1"/>
  <c r="AN19" i="15"/>
  <c r="AP18" i="15"/>
  <c r="B16" i="10" s="1"/>
  <c r="AS17" i="15"/>
  <c r="A15" i="11" s="1"/>
  <c r="AR18" i="15"/>
  <c r="AT17" i="15"/>
  <c r="B15" i="11" s="1"/>
  <c r="AL19" i="15"/>
  <c r="B17" i="9" s="1"/>
  <c r="AK19" i="15"/>
  <c r="A17" i="9" s="1"/>
  <c r="AJ20" i="15"/>
  <c r="X23" i="15"/>
  <c r="Z22" i="15"/>
  <c r="B20" i="6" s="1"/>
  <c r="Y22" i="15"/>
  <c r="A20" i="6" s="1"/>
  <c r="V23" i="15"/>
  <c r="B21" i="5" s="1"/>
  <c r="T24" i="15"/>
  <c r="U23" i="15"/>
  <c r="A21" i="5" s="1"/>
  <c r="AB22" i="15"/>
  <c r="AC21" i="15"/>
  <c r="A19" i="7" s="1"/>
  <c r="AD21" i="15"/>
  <c r="B19" i="7" s="1"/>
  <c r="I26" i="15"/>
  <c r="A24" i="2" s="1"/>
  <c r="H27" i="15"/>
  <c r="J26" i="15"/>
  <c r="B24" i="2" s="1"/>
  <c r="M25" i="15"/>
  <c r="A23" i="3" s="1"/>
  <c r="L26" i="15"/>
  <c r="N25" i="15"/>
  <c r="B23" i="3" s="1"/>
  <c r="AW16" i="15"/>
  <c r="A14" i="12" s="1"/>
  <c r="AX16" i="15"/>
  <c r="B14" i="12" s="1"/>
  <c r="AV17" i="15"/>
  <c r="P26" i="13"/>
  <c r="D27" i="13"/>
  <c r="D28" i="12"/>
  <c r="P28" i="12" s="1"/>
  <c r="D30" i="10"/>
  <c r="P30" i="10" s="1"/>
  <c r="D29" i="11"/>
  <c r="P29" i="11" s="1"/>
  <c r="D31" i="9"/>
  <c r="P31" i="9" s="1"/>
  <c r="AB23" i="15" l="1"/>
  <c r="AC22" i="15"/>
  <c r="A20" i="7" s="1"/>
  <c r="AD22" i="15"/>
  <c r="B20" i="7" s="1"/>
  <c r="U24" i="15"/>
  <c r="A22" i="5" s="1"/>
  <c r="T25" i="15"/>
  <c r="V24" i="15"/>
  <c r="B22" i="5" s="1"/>
  <c r="AW17" i="15"/>
  <c r="A15" i="12" s="1"/>
  <c r="AX17" i="15"/>
  <c r="B15" i="12" s="1"/>
  <c r="AV18" i="15"/>
  <c r="M26" i="15"/>
  <c r="A24" i="3" s="1"/>
  <c r="L27" i="15"/>
  <c r="N26" i="15"/>
  <c r="B24" i="3" s="1"/>
  <c r="AL20" i="15"/>
  <c r="B18" i="9" s="1"/>
  <c r="AJ21" i="15"/>
  <c r="AK20" i="15"/>
  <c r="A18" i="9" s="1"/>
  <c r="AS18" i="15"/>
  <c r="A16" i="11" s="1"/>
  <c r="AR19" i="15"/>
  <c r="AT18" i="15"/>
  <c r="B16" i="11" s="1"/>
  <c r="AH21" i="15"/>
  <c r="B19" i="8" s="1"/>
  <c r="AG21" i="15"/>
  <c r="A19" i="8" s="1"/>
  <c r="AF22" i="15"/>
  <c r="I27" i="15"/>
  <c r="A25" i="2" s="1"/>
  <c r="H28" i="15"/>
  <c r="J27" i="15"/>
  <c r="B25" i="2" s="1"/>
  <c r="X24" i="15"/>
  <c r="Z23" i="15"/>
  <c r="B21" i="6" s="1"/>
  <c r="Y23" i="15"/>
  <c r="A21" i="6" s="1"/>
  <c r="AO19" i="15"/>
  <c r="A17" i="10" s="1"/>
  <c r="AP19" i="15"/>
  <c r="B17" i="10" s="1"/>
  <c r="AN20" i="15"/>
  <c r="R25" i="15"/>
  <c r="B23" i="4" s="1"/>
  <c r="Q25" i="15"/>
  <c r="A23" i="4" s="1"/>
  <c r="P26" i="15"/>
  <c r="D30" i="11"/>
  <c r="P30" i="11" s="1"/>
  <c r="D31" i="10"/>
  <c r="P31" i="10" s="1"/>
  <c r="D29" i="12"/>
  <c r="P29" i="12" s="1"/>
  <c r="P27" i="13"/>
  <c r="D28" i="13"/>
  <c r="AN21" i="15" l="1"/>
  <c r="AP20" i="15"/>
  <c r="B18" i="10" s="1"/>
  <c r="AO20" i="15"/>
  <c r="A18" i="10" s="1"/>
  <c r="Q26" i="15"/>
  <c r="A24" i="4" s="1"/>
  <c r="R26" i="15"/>
  <c r="B24" i="4" s="1"/>
  <c r="P27" i="15"/>
  <c r="Y24" i="15"/>
  <c r="A22" i="6" s="1"/>
  <c r="X25" i="15"/>
  <c r="Z24" i="15"/>
  <c r="B22" i="6" s="1"/>
  <c r="I28" i="15"/>
  <c r="A26" i="2" s="1"/>
  <c r="H29" i="15"/>
  <c r="J28" i="15"/>
  <c r="B26" i="2" s="1"/>
  <c r="AG22" i="15"/>
  <c r="A20" i="8" s="1"/>
  <c r="AH22" i="15"/>
  <c r="B20" i="8" s="1"/>
  <c r="AF23" i="15"/>
  <c r="AR20" i="15"/>
  <c r="AS19" i="15"/>
  <c r="A17" i="11" s="1"/>
  <c r="AT19" i="15"/>
  <c r="B17" i="11" s="1"/>
  <c r="M27" i="15"/>
  <c r="A25" i="3" s="1"/>
  <c r="L28" i="15"/>
  <c r="N27" i="15"/>
  <c r="B25" i="3" s="1"/>
  <c r="AW18" i="15"/>
  <c r="A16" i="12" s="1"/>
  <c r="AX18" i="15"/>
  <c r="B16" i="12" s="1"/>
  <c r="AV19" i="15"/>
  <c r="T26" i="15"/>
  <c r="U25" i="15"/>
  <c r="A23" i="5" s="1"/>
  <c r="V25" i="15"/>
  <c r="B23" i="5" s="1"/>
  <c r="AC23" i="15"/>
  <c r="A21" i="7" s="1"/>
  <c r="AB24" i="15"/>
  <c r="AD23" i="15"/>
  <c r="B21" i="7" s="1"/>
  <c r="AJ22" i="15"/>
  <c r="AK21" i="15"/>
  <c r="A19" i="9" s="1"/>
  <c r="AL21" i="15"/>
  <c r="B19" i="9" s="1"/>
  <c r="P28" i="13"/>
  <c r="D29" i="13"/>
  <c r="D30" i="12"/>
  <c r="P30" i="12" s="1"/>
  <c r="D31" i="11"/>
  <c r="P31" i="11" s="1"/>
  <c r="AW19" i="15" l="1"/>
  <c r="A17" i="12" s="1"/>
  <c r="AX19" i="15"/>
  <c r="B17" i="12" s="1"/>
  <c r="AV20" i="15"/>
  <c r="M28" i="15"/>
  <c r="A26" i="3" s="1"/>
  <c r="L29" i="15"/>
  <c r="N28" i="15"/>
  <c r="B26" i="3" s="1"/>
  <c r="AJ23" i="15"/>
  <c r="AK22" i="15"/>
  <c r="A20" i="9" s="1"/>
  <c r="AL22" i="15"/>
  <c r="B20" i="9" s="1"/>
  <c r="AC24" i="15"/>
  <c r="A22" i="7" s="1"/>
  <c r="AB25" i="15"/>
  <c r="AD24" i="15"/>
  <c r="B22" i="7" s="1"/>
  <c r="U26" i="15"/>
  <c r="A24" i="5" s="1"/>
  <c r="T27" i="15"/>
  <c r="V26" i="15"/>
  <c r="B24" i="5" s="1"/>
  <c r="AF24" i="15"/>
  <c r="AG23" i="15"/>
  <c r="A21" i="8" s="1"/>
  <c r="AH23" i="15"/>
  <c r="B21" i="8" s="1"/>
  <c r="I29" i="15"/>
  <c r="A27" i="2" s="1"/>
  <c r="H30" i="15"/>
  <c r="J29" i="15"/>
  <c r="B27" i="2" s="1"/>
  <c r="AP21" i="15"/>
  <c r="B19" i="10" s="1"/>
  <c r="AN22" i="15"/>
  <c r="AO21" i="15"/>
  <c r="A19" i="10" s="1"/>
  <c r="AT20" i="15"/>
  <c r="B18" i="11" s="1"/>
  <c r="AS20" i="15"/>
  <c r="A18" i="11" s="1"/>
  <c r="AR21" i="15"/>
  <c r="X26" i="15"/>
  <c r="Y25" i="15"/>
  <c r="A23" i="6" s="1"/>
  <c r="Z25" i="15"/>
  <c r="B23" i="6" s="1"/>
  <c r="Q27" i="15"/>
  <c r="A25" i="4" s="1"/>
  <c r="R27" i="15"/>
  <c r="B25" i="4" s="1"/>
  <c r="P28" i="15"/>
  <c r="D31" i="12"/>
  <c r="P31" i="12" s="1"/>
  <c r="P29" i="13"/>
  <c r="D30" i="13"/>
  <c r="J3" i="1"/>
  <c r="Y26" i="15" l="1"/>
  <c r="A24" i="6" s="1"/>
  <c r="Z26" i="15"/>
  <c r="B24" i="6" s="1"/>
  <c r="X27" i="15"/>
  <c r="I30" i="15"/>
  <c r="A28" i="2" s="1"/>
  <c r="J30" i="15"/>
  <c r="B28" i="2" s="1"/>
  <c r="H31" i="15"/>
  <c r="AH24" i="15"/>
  <c r="B22" i="8" s="1"/>
  <c r="AF25" i="15"/>
  <c r="AG24" i="15"/>
  <c r="A22" i="8" s="1"/>
  <c r="V27" i="15"/>
  <c r="B25" i="5" s="1"/>
  <c r="U27" i="15"/>
  <c r="A25" i="5" s="1"/>
  <c r="T28" i="15"/>
  <c r="P29" i="15"/>
  <c r="Q28" i="15"/>
  <c r="A26" i="4" s="1"/>
  <c r="R28" i="15"/>
  <c r="B26" i="4" s="1"/>
  <c r="AS21" i="15"/>
  <c r="A19" i="11" s="1"/>
  <c r="AR22" i="15"/>
  <c r="AT21" i="15"/>
  <c r="B19" i="11" s="1"/>
  <c r="AP22" i="15"/>
  <c r="B20" i="10" s="1"/>
  <c r="AO22" i="15"/>
  <c r="A20" i="10" s="1"/>
  <c r="AN23" i="15"/>
  <c r="AC25" i="15"/>
  <c r="A23" i="7" s="1"/>
  <c r="AB26" i="15"/>
  <c r="AD25" i="15"/>
  <c r="B23" i="7" s="1"/>
  <c r="AL23" i="15"/>
  <c r="B21" i="9" s="1"/>
  <c r="AJ24" i="15"/>
  <c r="AK23" i="15"/>
  <c r="A21" i="9" s="1"/>
  <c r="M29" i="15"/>
  <c r="A27" i="3" s="1"/>
  <c r="L30" i="15"/>
  <c r="N29" i="15"/>
  <c r="B27" i="3" s="1"/>
  <c r="AW20" i="15"/>
  <c r="A18" i="12" s="1"/>
  <c r="AX20" i="15"/>
  <c r="B18" i="12" s="1"/>
  <c r="AV21" i="15"/>
  <c r="P30" i="13"/>
  <c r="D31" i="13"/>
  <c r="P31" i="13" s="1"/>
  <c r="J4" i="1"/>
  <c r="AK24" i="15" l="1"/>
  <c r="A22" i="9" s="1"/>
  <c r="AL24" i="15"/>
  <c r="B22" i="9" s="1"/>
  <c r="AJ25" i="15"/>
  <c r="T29" i="15"/>
  <c r="U28" i="15"/>
  <c r="A26" i="5" s="1"/>
  <c r="V28" i="15"/>
  <c r="B26" i="5" s="1"/>
  <c r="AG25" i="15"/>
  <c r="A23" i="8" s="1"/>
  <c r="AH25" i="15"/>
  <c r="B23" i="8" s="1"/>
  <c r="AF26" i="15"/>
  <c r="I31" i="15"/>
  <c r="A29" i="2" s="1"/>
  <c r="H32" i="15"/>
  <c r="J31" i="15"/>
  <c r="B29" i="2" s="1"/>
  <c r="AW21" i="15"/>
  <c r="A19" i="12" s="1"/>
  <c r="AX21" i="15"/>
  <c r="B19" i="12" s="1"/>
  <c r="AV22" i="15"/>
  <c r="M30" i="15"/>
  <c r="A28" i="3" s="1"/>
  <c r="L31" i="15"/>
  <c r="N30" i="15"/>
  <c r="B28" i="3" s="1"/>
  <c r="AD26" i="15"/>
  <c r="B24" i="7" s="1"/>
  <c r="AB27" i="15"/>
  <c r="AC26" i="15"/>
  <c r="A24" i="7" s="1"/>
  <c r="AO23" i="15"/>
  <c r="A21" i="10" s="1"/>
  <c r="AP23" i="15"/>
  <c r="B21" i="10" s="1"/>
  <c r="AN24" i="15"/>
  <c r="AT22" i="15"/>
  <c r="B20" i="11" s="1"/>
  <c r="AS22" i="15"/>
  <c r="A20" i="11" s="1"/>
  <c r="AR23" i="15"/>
  <c r="R29" i="15"/>
  <c r="B27" i="4" s="1"/>
  <c r="Q29" i="15"/>
  <c r="A27" i="4" s="1"/>
  <c r="P30" i="15"/>
  <c r="Z27" i="15"/>
  <c r="B25" i="6" s="1"/>
  <c r="X28" i="15"/>
  <c r="Y27" i="15"/>
  <c r="A25" i="6" s="1"/>
  <c r="J5" i="1"/>
  <c r="Y28" i="15" l="1"/>
  <c r="A26" i="6" s="1"/>
  <c r="X29" i="15"/>
  <c r="Z28" i="15"/>
  <c r="B26" i="6" s="1"/>
  <c r="Q30" i="15"/>
  <c r="A28" i="4" s="1"/>
  <c r="R30" i="15"/>
  <c r="B28" i="4" s="1"/>
  <c r="P31" i="15"/>
  <c r="AO24" i="15"/>
  <c r="A22" i="10" s="1"/>
  <c r="AP24" i="15"/>
  <c r="B22" i="10" s="1"/>
  <c r="AN25" i="15"/>
  <c r="AC27" i="15"/>
  <c r="A25" i="7" s="1"/>
  <c r="AD27" i="15"/>
  <c r="B25" i="7" s="1"/>
  <c r="AB28" i="15"/>
  <c r="U29" i="15"/>
  <c r="A27" i="5" s="1"/>
  <c r="V29" i="15"/>
  <c r="B27" i="5" s="1"/>
  <c r="T30" i="15"/>
  <c r="AT23" i="15"/>
  <c r="B21" i="11" s="1"/>
  <c r="AS23" i="15"/>
  <c r="A21" i="11" s="1"/>
  <c r="AR24" i="15"/>
  <c r="M31" i="15"/>
  <c r="A29" i="3" s="1"/>
  <c r="L32" i="15"/>
  <c r="N31" i="15"/>
  <c r="B29" i="3" s="1"/>
  <c r="AW22" i="15"/>
  <c r="A20" i="12" s="1"/>
  <c r="AX22" i="15"/>
  <c r="B20" i="12" s="1"/>
  <c r="AV23" i="15"/>
  <c r="I32" i="15"/>
  <c r="A30" i="2" s="1"/>
  <c r="H33" i="15"/>
  <c r="J32" i="15"/>
  <c r="B30" i="2" s="1"/>
  <c r="AH26" i="15"/>
  <c r="B24" i="8" s="1"/>
  <c r="AG26" i="15"/>
  <c r="A24" i="8" s="1"/>
  <c r="AF27" i="15"/>
  <c r="AL25" i="15"/>
  <c r="B23" i="9" s="1"/>
  <c r="AK25" i="15"/>
  <c r="A23" i="9" s="1"/>
  <c r="AJ26" i="15"/>
  <c r="J6" i="1"/>
  <c r="AG27" i="15" l="1"/>
  <c r="A25" i="8" s="1"/>
  <c r="AF28" i="15"/>
  <c r="AH27" i="15"/>
  <c r="B25" i="8" s="1"/>
  <c r="I33" i="15"/>
  <c r="A31" i="2" s="1"/>
  <c r="J33" i="15"/>
  <c r="B31" i="2" s="1"/>
  <c r="AW23" i="15"/>
  <c r="A21" i="12" s="1"/>
  <c r="AX23" i="15"/>
  <c r="B21" i="12" s="1"/>
  <c r="AV24" i="15"/>
  <c r="M32" i="15"/>
  <c r="A30" i="3" s="1"/>
  <c r="L33" i="15"/>
  <c r="N32" i="15"/>
  <c r="B30" i="3" s="1"/>
  <c r="AR25" i="15"/>
  <c r="AS24" i="15"/>
  <c r="A22" i="11" s="1"/>
  <c r="AT24" i="15"/>
  <c r="B22" i="11" s="1"/>
  <c r="AC28" i="15"/>
  <c r="A26" i="7" s="1"/>
  <c r="AD28" i="15"/>
  <c r="B26" i="7" s="1"/>
  <c r="AB29" i="15"/>
  <c r="Q31" i="15"/>
  <c r="A29" i="4" s="1"/>
  <c r="R31" i="15"/>
  <c r="B29" i="4" s="1"/>
  <c r="P32" i="15"/>
  <c r="AJ27" i="15"/>
  <c r="AK26" i="15"/>
  <c r="A24" i="9" s="1"/>
  <c r="AL26" i="15"/>
  <c r="B24" i="9" s="1"/>
  <c r="U30" i="15"/>
  <c r="A28" i="5" s="1"/>
  <c r="V30" i="15"/>
  <c r="B28" i="5" s="1"/>
  <c r="T31" i="15"/>
  <c r="AN26" i="15"/>
  <c r="AO25" i="15"/>
  <c r="A23" i="10" s="1"/>
  <c r="AP25" i="15"/>
  <c r="B23" i="10" s="1"/>
  <c r="Y29" i="15"/>
  <c r="A27" i="6" s="1"/>
  <c r="Z29" i="15"/>
  <c r="B27" i="6" s="1"/>
  <c r="X30" i="15"/>
  <c r="J7" i="1"/>
  <c r="Z30" i="15" l="1"/>
  <c r="B28" i="6" s="1"/>
  <c r="Y30" i="15"/>
  <c r="A28" i="6" s="1"/>
  <c r="X31" i="15"/>
  <c r="T32" i="15"/>
  <c r="V31" i="15"/>
  <c r="B29" i="5" s="1"/>
  <c r="U31" i="15"/>
  <c r="A29" i="5" s="1"/>
  <c r="Q32" i="15"/>
  <c r="A30" i="4" s="1"/>
  <c r="R32" i="15"/>
  <c r="B30" i="4" s="1"/>
  <c r="P33" i="15"/>
  <c r="AR26" i="15"/>
  <c r="AS25" i="15"/>
  <c r="A23" i="11" s="1"/>
  <c r="AT25" i="15"/>
  <c r="B23" i="11" s="1"/>
  <c r="M33" i="15"/>
  <c r="A31" i="3" s="1"/>
  <c r="N33" i="15"/>
  <c r="B31" i="3" s="1"/>
  <c r="AP26" i="15"/>
  <c r="B24" i="10" s="1"/>
  <c r="AN27" i="15"/>
  <c r="AO26" i="15"/>
  <c r="A24" i="10" s="1"/>
  <c r="AK27" i="15"/>
  <c r="A25" i="9" s="1"/>
  <c r="AL27" i="15"/>
  <c r="B25" i="9" s="1"/>
  <c r="AJ28" i="15"/>
  <c r="AC29" i="15"/>
  <c r="A27" i="7" s="1"/>
  <c r="AD29" i="15"/>
  <c r="B27" i="7" s="1"/>
  <c r="AB30" i="15"/>
  <c r="AW24" i="15"/>
  <c r="A22" i="12" s="1"/>
  <c r="AX24" i="15"/>
  <c r="B22" i="12" s="1"/>
  <c r="AV25" i="15"/>
  <c r="AH28" i="15"/>
  <c r="B26" i="8" s="1"/>
  <c r="AG28" i="15"/>
  <c r="A26" i="8" s="1"/>
  <c r="AF29" i="15"/>
  <c r="J8" i="1"/>
  <c r="AV26" i="15" l="1"/>
  <c r="AW25" i="15"/>
  <c r="A23" i="12" s="1"/>
  <c r="AX25" i="15"/>
  <c r="B23" i="12" s="1"/>
  <c r="AJ29" i="15"/>
  <c r="AK28" i="15"/>
  <c r="A26" i="9" s="1"/>
  <c r="AL28" i="15"/>
  <c r="B26" i="9" s="1"/>
  <c r="AP27" i="15"/>
  <c r="B25" i="10" s="1"/>
  <c r="AO27" i="15"/>
  <c r="A25" i="10" s="1"/>
  <c r="AN28" i="15"/>
  <c r="AS26" i="15"/>
  <c r="A24" i="11" s="1"/>
  <c r="AR27" i="15"/>
  <c r="AT26" i="15"/>
  <c r="B24" i="11" s="1"/>
  <c r="AF30" i="15"/>
  <c r="AH29" i="15"/>
  <c r="B27" i="8" s="1"/>
  <c r="AG29" i="15"/>
  <c r="A27" i="8" s="1"/>
  <c r="AC30" i="15"/>
  <c r="A28" i="7" s="1"/>
  <c r="AD30" i="15"/>
  <c r="B28" i="7" s="1"/>
  <c r="AB31" i="15"/>
  <c r="R33" i="15"/>
  <c r="B31" i="4" s="1"/>
  <c r="Q33" i="15"/>
  <c r="A31" i="4" s="1"/>
  <c r="X32" i="15"/>
  <c r="Z31" i="15"/>
  <c r="B29" i="6" s="1"/>
  <c r="Y31" i="15"/>
  <c r="A29" i="6" s="1"/>
  <c r="V32" i="15"/>
  <c r="B30" i="5" s="1"/>
  <c r="U32" i="15"/>
  <c r="A30" i="5" s="1"/>
  <c r="T33" i="15"/>
  <c r="J9" i="1"/>
  <c r="U33" i="15" l="1"/>
  <c r="A31" i="5" s="1"/>
  <c r="V33" i="15"/>
  <c r="B31" i="5" s="1"/>
  <c r="X33" i="15"/>
  <c r="Z32" i="15"/>
  <c r="B30" i="6" s="1"/>
  <c r="Y32" i="15"/>
  <c r="A30" i="6" s="1"/>
  <c r="AG30" i="15"/>
  <c r="A28" i="8" s="1"/>
  <c r="AF31" i="15"/>
  <c r="AH30" i="15"/>
  <c r="B28" i="8" s="1"/>
  <c r="AT27" i="15"/>
  <c r="B25" i="11" s="1"/>
  <c r="AS27" i="15"/>
  <c r="A25" i="11" s="1"/>
  <c r="AR28" i="15"/>
  <c r="AP28" i="15"/>
  <c r="B26" i="10" s="1"/>
  <c r="AO28" i="15"/>
  <c r="A26" i="10" s="1"/>
  <c r="AN29" i="15"/>
  <c r="AW26" i="15"/>
  <c r="A24" i="12" s="1"/>
  <c r="AX26" i="15"/>
  <c r="B24" i="12" s="1"/>
  <c r="AV27" i="15"/>
  <c r="AC31" i="15"/>
  <c r="A29" i="7" s="1"/>
  <c r="AB32" i="15"/>
  <c r="AD31" i="15"/>
  <c r="B29" i="7" s="1"/>
  <c r="AK29" i="15"/>
  <c r="A27" i="9" s="1"/>
  <c r="AL29" i="15"/>
  <c r="B27" i="9" s="1"/>
  <c r="AJ30" i="15"/>
  <c r="J10" i="1"/>
  <c r="J3" i="12"/>
  <c r="J3" i="10"/>
  <c r="J3" i="13"/>
  <c r="J3" i="3" l="1"/>
  <c r="AJ31" i="15"/>
  <c r="AK30" i="15"/>
  <c r="A28" i="9" s="1"/>
  <c r="AL30" i="15"/>
  <c r="B28" i="9" s="1"/>
  <c r="AD32" i="15"/>
  <c r="B30" i="7" s="1"/>
  <c r="AC32" i="15"/>
  <c r="A30" i="7" s="1"/>
  <c r="AB33" i="15"/>
  <c r="AW27" i="15"/>
  <c r="A25" i="12" s="1"/>
  <c r="AX27" i="15"/>
  <c r="B25" i="12" s="1"/>
  <c r="AV28" i="15"/>
  <c r="AT28" i="15"/>
  <c r="B26" i="11" s="1"/>
  <c r="AS28" i="15"/>
  <c r="A26" i="11" s="1"/>
  <c r="AR29" i="15"/>
  <c r="AF32" i="15"/>
  <c r="AG31" i="15"/>
  <c r="A29" i="8" s="1"/>
  <c r="AH31" i="15"/>
  <c r="B29" i="8" s="1"/>
  <c r="Z33" i="15"/>
  <c r="B31" i="6" s="1"/>
  <c r="Y33" i="15"/>
  <c r="A31" i="6" s="1"/>
  <c r="AO29" i="15"/>
  <c r="A27" i="10" s="1"/>
  <c r="AN30" i="15"/>
  <c r="AP29" i="15"/>
  <c r="B27" i="10" s="1"/>
  <c r="J4" i="12"/>
  <c r="J3" i="11"/>
  <c r="J3" i="2"/>
  <c r="J4" i="13"/>
  <c r="J4" i="10"/>
  <c r="J11" i="1"/>
  <c r="AO30" i="15" l="1"/>
  <c r="A28" i="10" s="1"/>
  <c r="AN31" i="15"/>
  <c r="AP30" i="15"/>
  <c r="B28" i="10" s="1"/>
  <c r="AH32" i="15"/>
  <c r="B30" i="8" s="1"/>
  <c r="AF33" i="15"/>
  <c r="AG32" i="15"/>
  <c r="A30" i="8" s="1"/>
  <c r="AV29" i="15"/>
  <c r="AW28" i="15"/>
  <c r="A26" i="12" s="1"/>
  <c r="AX28" i="15"/>
  <c r="B26" i="12" s="1"/>
  <c r="AK31" i="15"/>
  <c r="A29" i="9" s="1"/>
  <c r="AJ32" i="15"/>
  <c r="AL31" i="15"/>
  <c r="B29" i="9" s="1"/>
  <c r="AR30" i="15"/>
  <c r="AT29" i="15"/>
  <c r="B27" i="11" s="1"/>
  <c r="AS29" i="15"/>
  <c r="A27" i="11" s="1"/>
  <c r="AC33" i="15"/>
  <c r="A31" i="7" s="1"/>
  <c r="AD33" i="15"/>
  <c r="B31" i="7" s="1"/>
  <c r="J5" i="10"/>
  <c r="J4" i="2"/>
  <c r="J12" i="1"/>
  <c r="J5" i="13"/>
  <c r="J4" i="3"/>
  <c r="J5" i="12"/>
  <c r="J3" i="4"/>
  <c r="J4" i="11"/>
  <c r="AT30" i="15" l="1"/>
  <c r="B28" i="11" s="1"/>
  <c r="AR31" i="15"/>
  <c r="AS30" i="15"/>
  <c r="A28" i="11" s="1"/>
  <c r="AK32" i="15"/>
  <c r="A30" i="9" s="1"/>
  <c r="AJ33" i="15"/>
  <c r="AL32" i="15"/>
  <c r="B30" i="9" s="1"/>
  <c r="AW29" i="15"/>
  <c r="A27" i="12" s="1"/>
  <c r="AX29" i="15"/>
  <c r="B27" i="12" s="1"/>
  <c r="AV30" i="15"/>
  <c r="AG33" i="15"/>
  <c r="A31" i="8" s="1"/>
  <c r="AH33" i="15"/>
  <c r="B31" i="8" s="1"/>
  <c r="AO31" i="15"/>
  <c r="A29" i="10" s="1"/>
  <c r="AP31" i="15"/>
  <c r="B29" i="10" s="1"/>
  <c r="AN32" i="15"/>
  <c r="J6" i="12"/>
  <c r="J4" i="4"/>
  <c r="J5" i="3"/>
  <c r="J13" i="1"/>
  <c r="J6" i="10"/>
  <c r="J3" i="5"/>
  <c r="J5" i="11"/>
  <c r="J6" i="13"/>
  <c r="J5" i="2"/>
  <c r="J3" i="9"/>
  <c r="J3" i="6" l="1"/>
  <c r="AV31" i="15"/>
  <c r="AW30" i="15"/>
  <c r="A28" i="12" s="1"/>
  <c r="AX30" i="15"/>
  <c r="B28" i="12" s="1"/>
  <c r="AL33" i="15"/>
  <c r="B31" i="9" s="1"/>
  <c r="AK33" i="15"/>
  <c r="A31" i="9" s="1"/>
  <c r="AN33" i="15"/>
  <c r="AO32" i="15"/>
  <c r="A30" i="10" s="1"/>
  <c r="AP32" i="15"/>
  <c r="B30" i="10" s="1"/>
  <c r="AR32" i="15"/>
  <c r="AS31" i="15"/>
  <c r="A29" i="11" s="1"/>
  <c r="AT31" i="15"/>
  <c r="B29" i="11" s="1"/>
  <c r="J4" i="9"/>
  <c r="J7" i="13"/>
  <c r="J6" i="2"/>
  <c r="J6" i="11"/>
  <c r="J4" i="5"/>
  <c r="J7" i="10"/>
  <c r="J14" i="1"/>
  <c r="J6" i="3"/>
  <c r="J5" i="4"/>
  <c r="J7" i="12"/>
  <c r="AS32" i="15" l="1"/>
  <c r="A30" i="11" s="1"/>
  <c r="AT32" i="15"/>
  <c r="B30" i="11" s="1"/>
  <c r="AR33" i="15"/>
  <c r="AW31" i="15"/>
  <c r="A29" i="12" s="1"/>
  <c r="AX31" i="15"/>
  <c r="B29" i="12" s="1"/>
  <c r="AV32" i="15"/>
  <c r="AP33" i="15"/>
  <c r="AO33" i="15"/>
  <c r="J6" i="4"/>
  <c r="J5" i="5"/>
  <c r="J7" i="11"/>
  <c r="J8" i="12"/>
  <c r="J15" i="1"/>
  <c r="J8" i="10"/>
  <c r="J4" i="6"/>
  <c r="J7" i="2"/>
  <c r="J3" i="7"/>
  <c r="J5" i="9"/>
  <c r="J7" i="3"/>
  <c r="J8" i="13"/>
  <c r="J3" i="8" l="1"/>
  <c r="AS33" i="15"/>
  <c r="A31" i="11" s="1"/>
  <c r="AT33" i="15"/>
  <c r="B31" i="11" s="1"/>
  <c r="AV33" i="15"/>
  <c r="AW32" i="15"/>
  <c r="A30" i="12" s="1"/>
  <c r="AX32" i="15"/>
  <c r="B30" i="12" s="1"/>
  <c r="J6" i="9"/>
  <c r="J8" i="2"/>
  <c r="J9" i="13"/>
  <c r="J4" i="7"/>
  <c r="J5" i="6"/>
  <c r="J16" i="1"/>
  <c r="J9" i="12"/>
  <c r="J8" i="11"/>
  <c r="J8" i="3"/>
  <c r="J9" i="10"/>
  <c r="J6" i="5"/>
  <c r="J7" i="4"/>
  <c r="AX33" i="15" l="1"/>
  <c r="B31" i="12" s="1"/>
  <c r="AW33" i="15"/>
  <c r="A31" i="12" s="1"/>
  <c r="J17" i="1"/>
  <c r="J8" i="4"/>
  <c r="J10" i="10"/>
  <c r="J9" i="3"/>
  <c r="J9" i="11"/>
  <c r="J10" i="12"/>
  <c r="J6" i="6"/>
  <c r="J5" i="7"/>
  <c r="J10" i="13"/>
  <c r="J7" i="5"/>
  <c r="J4" i="8"/>
  <c r="J9" i="2"/>
  <c r="J7" i="9"/>
  <c r="J10" i="2" l="1"/>
  <c r="J6" i="7"/>
  <c r="J7" i="6"/>
  <c r="J8" i="9"/>
  <c r="J5" i="8"/>
  <c r="J8" i="5"/>
  <c r="J11" i="12"/>
  <c r="J10" i="11"/>
  <c r="J10" i="3"/>
  <c r="J11" i="10"/>
  <c r="J11" i="13"/>
  <c r="J9" i="4"/>
  <c r="J18" i="1"/>
  <c r="J19" i="1" l="1"/>
  <c r="J10" i="4"/>
  <c r="J11" i="11"/>
  <c r="J12" i="13"/>
  <c r="J11" i="3"/>
  <c r="J12" i="12"/>
  <c r="J9" i="5"/>
  <c r="J6" i="8"/>
  <c r="J8" i="6"/>
  <c r="J11" i="2"/>
  <c r="J12" i="10"/>
  <c r="J9" i="9"/>
  <c r="J7" i="7"/>
  <c r="J10" i="9" l="1"/>
  <c r="J8" i="7"/>
  <c r="J13" i="10"/>
  <c r="J9" i="6"/>
  <c r="J7" i="8"/>
  <c r="J13" i="12"/>
  <c r="J12" i="11"/>
  <c r="J20" i="1"/>
  <c r="J12" i="2"/>
  <c r="J10" i="5"/>
  <c r="J12" i="3"/>
  <c r="J13" i="13"/>
  <c r="J11" i="4"/>
  <c r="J14" i="13" l="1"/>
  <c r="J13" i="3"/>
  <c r="J13" i="2"/>
  <c r="J12" i="4"/>
  <c r="J11" i="5"/>
  <c r="J21" i="1"/>
  <c r="J13" i="11"/>
  <c r="J14" i="12"/>
  <c r="J8" i="8"/>
  <c r="J10" i="6"/>
  <c r="J14" i="10"/>
  <c r="J9" i="7"/>
  <c r="J11" i="9"/>
  <c r="J10" i="7" l="1"/>
  <c r="J11" i="6"/>
  <c r="J12" i="9"/>
  <c r="J15" i="10"/>
  <c r="J15" i="12"/>
  <c r="J14" i="11"/>
  <c r="J12" i="5"/>
  <c r="J14" i="2"/>
  <c r="J14" i="3"/>
  <c r="J9" i="8"/>
  <c r="J22" i="1"/>
  <c r="J13" i="4"/>
  <c r="J15" i="13"/>
  <c r="J14" i="4" l="1"/>
  <c r="J10" i="8"/>
  <c r="J15" i="2"/>
  <c r="J13" i="5"/>
  <c r="J16" i="12"/>
  <c r="J13" i="9"/>
  <c r="J12" i="6"/>
  <c r="J16" i="13"/>
  <c r="J23" i="1"/>
  <c r="J15" i="3"/>
  <c r="J15" i="11"/>
  <c r="J16" i="10"/>
  <c r="J11" i="7"/>
  <c r="J14" i="9" l="1"/>
  <c r="J12" i="7"/>
  <c r="J17" i="10"/>
  <c r="J16" i="11"/>
  <c r="J16" i="3"/>
  <c r="J24" i="1"/>
  <c r="J17" i="13"/>
  <c r="J13" i="6"/>
  <c r="J17" i="12"/>
  <c r="J14" i="5"/>
  <c r="J16" i="2"/>
  <c r="J11" i="8"/>
  <c r="J15" i="4"/>
  <c r="J12" i="8" l="1"/>
  <c r="J25" i="1"/>
  <c r="J16" i="4"/>
  <c r="J15" i="5"/>
  <c r="J18" i="12"/>
  <c r="J14" i="6"/>
  <c r="J18" i="13"/>
  <c r="J17" i="3"/>
  <c r="J18" i="10"/>
  <c r="J13" i="7"/>
  <c r="J15" i="9"/>
  <c r="J17" i="2"/>
  <c r="J17" i="11"/>
  <c r="J14" i="7" l="1"/>
  <c r="J19" i="10"/>
  <c r="J18" i="11"/>
  <c r="J18" i="2"/>
  <c r="J16" i="9"/>
  <c r="J18" i="3"/>
  <c r="J19" i="13"/>
  <c r="J19" i="12"/>
  <c r="J16" i="5"/>
  <c r="J17" i="4"/>
  <c r="J13" i="8"/>
  <c r="J15" i="6"/>
  <c r="J26" i="1"/>
  <c r="J16" i="6" l="1"/>
  <c r="J18" i="4"/>
  <c r="J20" i="12"/>
  <c r="J20" i="13"/>
  <c r="J27" i="1"/>
  <c r="J14" i="8"/>
  <c r="J19" i="3"/>
  <c r="J17" i="9"/>
  <c r="J19" i="2"/>
  <c r="J19" i="11"/>
  <c r="J15" i="7"/>
  <c r="J17" i="5"/>
  <c r="J20" i="10"/>
  <c r="J18" i="5" l="1"/>
  <c r="J20" i="11"/>
  <c r="J20" i="2"/>
  <c r="J21" i="10"/>
  <c r="J16" i="7"/>
  <c r="J18" i="9"/>
  <c r="J15" i="8"/>
  <c r="J28" i="1"/>
  <c r="J21" i="12"/>
  <c r="J17" i="6"/>
  <c r="J20" i="3"/>
  <c r="J21" i="13"/>
  <c r="J19" i="4"/>
  <c r="J22" i="13" l="1"/>
  <c r="J17" i="7"/>
  <c r="J20" i="4"/>
  <c r="J21" i="3"/>
  <c r="J18" i="6"/>
  <c r="J22" i="12"/>
  <c r="J29" i="1"/>
  <c r="J16" i="8"/>
  <c r="J21" i="2"/>
  <c r="J21" i="11"/>
  <c r="J19" i="5"/>
  <c r="J19" i="9"/>
  <c r="J22" i="10"/>
  <c r="J20" i="9" l="1"/>
  <c r="J22" i="11"/>
  <c r="J23" i="10"/>
  <c r="J22" i="2"/>
  <c r="J17" i="8"/>
  <c r="J30" i="1"/>
  <c r="J19" i="6"/>
  <c r="J22" i="3"/>
  <c r="J20" i="5"/>
  <c r="J23" i="12"/>
  <c r="J21" i="4"/>
  <c r="J18" i="7"/>
  <c r="J23" i="13"/>
  <c r="J24" i="13" l="1"/>
  <c r="J23" i="3"/>
  <c r="J19" i="7"/>
  <c r="J22" i="4"/>
  <c r="J24" i="12"/>
  <c r="J21" i="5"/>
  <c r="J23" i="2"/>
  <c r="J24" i="10"/>
  <c r="J20" i="6"/>
  <c r="J31" i="1"/>
  <c r="J18" i="8"/>
  <c r="J23" i="11"/>
  <c r="J21" i="9"/>
  <c r="J19" i="8" l="1"/>
  <c r="J22" i="9"/>
  <c r="J20" i="7"/>
  <c r="J24" i="3"/>
  <c r="J24" i="11"/>
  <c r="J21" i="6"/>
  <c r="J25" i="10"/>
  <c r="J24" i="2"/>
  <c r="J22" i="5"/>
  <c r="J25" i="12"/>
  <c r="J23" i="4"/>
  <c r="J25" i="13"/>
  <c r="J26" i="13" l="1"/>
  <c r="J26" i="12"/>
  <c r="J24" i="4"/>
  <c r="J23" i="5"/>
  <c r="J25" i="2"/>
  <c r="J26" i="10"/>
  <c r="J22" i="6"/>
  <c r="J25" i="11"/>
  <c r="J25" i="3"/>
  <c r="J21" i="7"/>
  <c r="J20" i="8"/>
  <c r="J23" i="9"/>
  <c r="J22" i="7" l="1"/>
  <c r="J26" i="11"/>
  <c r="J21" i="8"/>
  <c r="J26" i="3"/>
  <c r="J23" i="6"/>
  <c r="J25" i="4"/>
  <c r="J27" i="12"/>
  <c r="J27" i="13"/>
  <c r="J24" i="9"/>
  <c r="J27" i="10"/>
  <c r="J26" i="2"/>
  <c r="J24" i="5"/>
  <c r="J25" i="5" l="1"/>
  <c r="J27" i="2"/>
  <c r="J28" i="10"/>
  <c r="J25" i="9"/>
  <c r="J28" i="12"/>
  <c r="J24" i="6"/>
  <c r="J22" i="8"/>
  <c r="J28" i="13"/>
  <c r="J26" i="4"/>
  <c r="J27" i="3"/>
  <c r="J27" i="11"/>
  <c r="J23" i="7"/>
  <c r="J24" i="7" l="1"/>
  <c r="J29" i="13"/>
  <c r="J23" i="8"/>
  <c r="J28" i="11"/>
  <c r="J27" i="4"/>
  <c r="J25" i="6"/>
  <c r="J29" i="12"/>
  <c r="J28" i="2"/>
  <c r="J26" i="5"/>
  <c r="J28" i="3"/>
  <c r="J26" i="9"/>
  <c r="J29" i="10"/>
  <c r="J30" i="10" l="1"/>
  <c r="J27" i="9"/>
  <c r="J26" i="6"/>
  <c r="J29" i="3"/>
  <c r="J27" i="5"/>
  <c r="J29" i="2"/>
  <c r="J30" i="12"/>
  <c r="J28" i="4"/>
  <c r="J29" i="11"/>
  <c r="J24" i="8"/>
  <c r="J30" i="13"/>
  <c r="J25" i="7"/>
  <c r="J31" i="13" l="1"/>
  <c r="J25" i="8"/>
  <c r="J30" i="11"/>
  <c r="J27" i="6"/>
  <c r="J28" i="9"/>
  <c r="J31" i="10"/>
  <c r="J26" i="7"/>
  <c r="J29" i="4"/>
  <c r="J31" i="12"/>
  <c r="J30" i="2"/>
  <c r="J28" i="5"/>
  <c r="J30" i="3"/>
  <c r="J30" i="4" l="1"/>
  <c r="J28" i="6"/>
  <c r="J29" i="5"/>
  <c r="J31" i="2"/>
  <c r="J31" i="3"/>
  <c r="J27" i="7"/>
  <c r="J29" i="9"/>
  <c r="J31" i="11"/>
  <c r="J26" i="8"/>
  <c r="J28" i="7" l="1"/>
  <c r="J30" i="9"/>
  <c r="J31" i="4"/>
  <c r="J27" i="8"/>
  <c r="J30" i="5"/>
  <c r="J29" i="6"/>
  <c r="J30" i="6" l="1"/>
  <c r="J31" i="5"/>
  <c r="J28" i="8"/>
  <c r="J31" i="9"/>
  <c r="J29" i="7"/>
  <c r="J29" i="8" l="1"/>
  <c r="J30" i="7"/>
  <c r="J31" i="6"/>
  <c r="J31" i="7" l="1"/>
  <c r="J30" i="8"/>
  <c r="J31" i="8" l="1"/>
  <c r="E2" i="1" l="1"/>
  <c r="E3" i="1" s="1"/>
  <c r="E4" i="1" s="1"/>
  <c r="E5" i="1" s="1"/>
  <c r="E6" i="1" s="1"/>
  <c r="E7" i="1" s="1"/>
  <c r="E8" i="1" s="1"/>
  <c r="E9" i="1" s="1"/>
  <c r="E10" i="1" s="1"/>
  <c r="E11" i="1" s="1"/>
  <c r="E12" i="1" s="1"/>
  <c r="E13" i="1" s="1"/>
  <c r="E14" i="1" s="1"/>
  <c r="E15" i="1" s="1"/>
  <c r="E16" i="1" s="1"/>
  <c r="E17" i="1" s="1"/>
  <c r="E18" i="1" s="1"/>
  <c r="E19" i="1" s="1"/>
  <c r="E20" i="1" s="1"/>
  <c r="E21" i="1" s="1"/>
  <c r="E22" i="1" s="1"/>
  <c r="E23" i="1" s="1"/>
  <c r="E24" i="1" s="1"/>
  <c r="E25" i="1" s="1"/>
  <c r="E26" i="1" s="1"/>
  <c r="E27" i="1" s="1"/>
  <c r="E28" i="1" s="1"/>
  <c r="E29" i="1" s="1"/>
  <c r="E30" i="1" s="1"/>
  <c r="E31" i="1" s="1"/>
  <c r="E2" i="10"/>
  <c r="E3" i="10" s="1"/>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2" i="11"/>
  <c r="E3" i="11" s="1"/>
  <c r="E4" i="11" s="1"/>
  <c r="E5" i="11" s="1"/>
  <c r="E6" i="11" s="1"/>
  <c r="E7" i="11" s="1"/>
  <c r="E8" i="11" s="1"/>
  <c r="E9" i="11" s="1"/>
  <c r="E10" i="11" s="1"/>
  <c r="E11" i="11" s="1"/>
  <c r="E12" i="11" s="1"/>
  <c r="E13" i="11" s="1"/>
  <c r="E14" i="11" s="1"/>
  <c r="E15" i="11" s="1"/>
  <c r="E16" i="11" s="1"/>
  <c r="E17" i="11" s="1"/>
  <c r="E18" i="11" s="1"/>
  <c r="E19" i="11" s="1"/>
  <c r="E20" i="11" s="1"/>
  <c r="E21" i="11" s="1"/>
  <c r="E22" i="11" s="1"/>
  <c r="E23" i="11" s="1"/>
  <c r="E24" i="11" s="1"/>
  <c r="E25" i="11" s="1"/>
  <c r="E26" i="11" s="1"/>
  <c r="E27" i="11" s="1"/>
  <c r="E28" i="11" s="1"/>
  <c r="E29" i="11" s="1"/>
  <c r="E30" i="11" s="1"/>
  <c r="E31" i="11" s="1"/>
  <c r="E2" i="12"/>
  <c r="E3" i="12" s="1"/>
  <c r="E4" i="12" s="1"/>
  <c r="E5" i="12" s="1"/>
  <c r="E6" i="12" s="1"/>
  <c r="E7" i="12" s="1"/>
  <c r="E8" i="12" s="1"/>
  <c r="E9" i="12" s="1"/>
  <c r="E10" i="12" s="1"/>
  <c r="E11" i="12" s="1"/>
  <c r="E12" i="12" s="1"/>
  <c r="E13" i="12" s="1"/>
  <c r="E14" i="12" s="1"/>
  <c r="E15" i="12" s="1"/>
  <c r="E16" i="12" s="1"/>
  <c r="E17" i="12" s="1"/>
  <c r="E18" i="12" s="1"/>
  <c r="E19" i="12" s="1"/>
  <c r="E20" i="12" s="1"/>
  <c r="E21" i="12" s="1"/>
  <c r="E22" i="12" s="1"/>
  <c r="E23" i="12" s="1"/>
  <c r="E24" i="12" s="1"/>
  <c r="E25" i="12" s="1"/>
  <c r="E26" i="12" s="1"/>
  <c r="E27" i="12" s="1"/>
  <c r="E28" i="12" s="1"/>
  <c r="E29" i="12" s="1"/>
  <c r="E30" i="12" s="1"/>
  <c r="E31" i="12" s="1"/>
  <c r="E2" i="2"/>
  <c r="E3" i="2" s="1"/>
  <c r="E4" i="2" s="1"/>
  <c r="E5" i="2" s="1"/>
  <c r="E6" i="2" s="1"/>
  <c r="E7" i="2" s="1"/>
  <c r="E8" i="2" s="1"/>
  <c r="E9" i="2" s="1"/>
  <c r="E10" i="2" s="1"/>
  <c r="E11" i="2" s="1"/>
  <c r="E12" i="2" s="1"/>
  <c r="E13" i="2" s="1"/>
  <c r="E14" i="2" s="1"/>
  <c r="E15" i="2" s="1"/>
  <c r="E16" i="2" s="1"/>
  <c r="E17" i="2" s="1"/>
  <c r="E18" i="2" s="1"/>
  <c r="E19" i="2" s="1"/>
  <c r="E20" i="2" s="1"/>
  <c r="E21" i="2" s="1"/>
  <c r="E22" i="2" s="1"/>
  <c r="E23" i="2" s="1"/>
  <c r="E24" i="2" s="1"/>
  <c r="E25" i="2" s="1"/>
  <c r="E26" i="2" s="1"/>
  <c r="E27" i="2" s="1"/>
  <c r="E28" i="2" s="1"/>
  <c r="E29" i="2" s="1"/>
  <c r="E30" i="2" s="1"/>
  <c r="E31" i="2" s="1"/>
  <c r="E2" i="3"/>
  <c r="E3" i="3" s="1"/>
  <c r="E4" i="3" s="1"/>
  <c r="E5" i="3" s="1"/>
  <c r="E6" i="3" s="1"/>
  <c r="E7" i="3" s="1"/>
  <c r="E8" i="3" s="1"/>
  <c r="E9" i="3" s="1"/>
  <c r="E10" i="3" s="1"/>
  <c r="E11" i="3" s="1"/>
  <c r="E12" i="3" s="1"/>
  <c r="E13" i="3" s="1"/>
  <c r="E14" i="3" s="1"/>
  <c r="E15" i="3" s="1"/>
  <c r="E16" i="3" s="1"/>
  <c r="E17" i="3" s="1"/>
  <c r="E18" i="3" s="1"/>
  <c r="E19" i="3" s="1"/>
  <c r="E20" i="3" s="1"/>
  <c r="E21" i="3" s="1"/>
  <c r="E22" i="3" s="1"/>
  <c r="E23" i="3" s="1"/>
  <c r="E24" i="3" s="1"/>
  <c r="E25" i="3" s="1"/>
  <c r="E26" i="3" s="1"/>
  <c r="E27" i="3" s="1"/>
  <c r="E28" i="3" s="1"/>
  <c r="E29" i="3" s="1"/>
  <c r="E30" i="3" s="1"/>
  <c r="E31" i="3" s="1"/>
  <c r="E2" i="4"/>
  <c r="E3" i="4" s="1"/>
  <c r="E4" i="4" s="1"/>
  <c r="E5" i="4" s="1"/>
  <c r="E6" i="4" s="1"/>
  <c r="E7" i="4" s="1"/>
  <c r="E8" i="4" s="1"/>
  <c r="E9" i="4" s="1"/>
  <c r="E10" i="4" s="1"/>
  <c r="E11" i="4" s="1"/>
  <c r="E12" i="4" s="1"/>
  <c r="E13" i="4" s="1"/>
  <c r="E14" i="4" s="1"/>
  <c r="E15" i="4" s="1"/>
  <c r="E16" i="4" s="1"/>
  <c r="E17" i="4" s="1"/>
  <c r="E18" i="4" s="1"/>
  <c r="E19" i="4" s="1"/>
  <c r="E20" i="4" s="1"/>
  <c r="E21" i="4" s="1"/>
  <c r="E22" i="4" s="1"/>
  <c r="E23" i="4" s="1"/>
  <c r="E24" i="4" s="1"/>
  <c r="E25" i="4" s="1"/>
  <c r="E26" i="4" s="1"/>
  <c r="E27" i="4" s="1"/>
  <c r="E28" i="4" s="1"/>
  <c r="E29" i="4" s="1"/>
  <c r="E30" i="4" s="1"/>
  <c r="E31" i="4" s="1"/>
  <c r="E2" i="5"/>
  <c r="E3" i="5" s="1"/>
  <c r="E4" i="5" s="1"/>
  <c r="E5" i="5" s="1"/>
  <c r="E6" i="5" s="1"/>
  <c r="E7" i="5" s="1"/>
  <c r="E8" i="5" s="1"/>
  <c r="E9" i="5" s="1"/>
  <c r="E10" i="5" s="1"/>
  <c r="E11" i="5" s="1"/>
  <c r="E12" i="5" s="1"/>
  <c r="E13" i="5" s="1"/>
  <c r="E14" i="5" s="1"/>
  <c r="E15" i="5" s="1"/>
  <c r="E16" i="5" s="1"/>
  <c r="E17" i="5" s="1"/>
  <c r="E18" i="5" s="1"/>
  <c r="E19" i="5" s="1"/>
  <c r="E20" i="5" s="1"/>
  <c r="E21" i="5" s="1"/>
  <c r="E22" i="5" s="1"/>
  <c r="E23" i="5" s="1"/>
  <c r="E24" i="5" s="1"/>
  <c r="E25" i="5" s="1"/>
  <c r="E26" i="5" s="1"/>
  <c r="E27" i="5" s="1"/>
  <c r="E28" i="5" s="1"/>
  <c r="E29" i="5" s="1"/>
  <c r="E30" i="5" s="1"/>
  <c r="E31" i="5" s="1"/>
  <c r="E2" i="6"/>
  <c r="E3" i="6" s="1"/>
  <c r="E4" i="6" s="1"/>
  <c r="E5" i="6" s="1"/>
  <c r="E6" i="6" s="1"/>
  <c r="E7" i="6" s="1"/>
  <c r="E8" i="6" s="1"/>
  <c r="E9" i="6" s="1"/>
  <c r="E10" i="6" s="1"/>
  <c r="E11" i="6" s="1"/>
  <c r="E12" i="6" s="1"/>
  <c r="E13" i="6" s="1"/>
  <c r="E14" i="6" s="1"/>
  <c r="E15" i="6" s="1"/>
  <c r="E16" i="6" s="1"/>
  <c r="E17" i="6" s="1"/>
  <c r="E18" i="6" s="1"/>
  <c r="E19" i="6" s="1"/>
  <c r="E20" i="6" s="1"/>
  <c r="E21" i="6" s="1"/>
  <c r="E22" i="6" s="1"/>
  <c r="E23" i="6" s="1"/>
  <c r="E24" i="6" s="1"/>
  <c r="E25" i="6" s="1"/>
  <c r="E26" i="6" s="1"/>
  <c r="E27" i="6" s="1"/>
  <c r="E28" i="6" s="1"/>
  <c r="E29" i="6" s="1"/>
  <c r="E30" i="6" s="1"/>
  <c r="E31" i="6" s="1"/>
  <c r="E2" i="7"/>
  <c r="E3" i="7" s="1"/>
  <c r="E4" i="7" s="1"/>
  <c r="E5" i="7" s="1"/>
  <c r="E6" i="7" s="1"/>
  <c r="E7" i="7" s="1"/>
  <c r="E8" i="7" s="1"/>
  <c r="E9" i="7" s="1"/>
  <c r="E10" i="7" s="1"/>
  <c r="E11" i="7" s="1"/>
  <c r="E12" i="7" s="1"/>
  <c r="E13" i="7" s="1"/>
  <c r="E14" i="7" s="1"/>
  <c r="E15" i="7" s="1"/>
  <c r="E16" i="7" s="1"/>
  <c r="E17" i="7" s="1"/>
  <c r="E18" i="7" s="1"/>
  <c r="E19" i="7" s="1"/>
  <c r="E20" i="7" s="1"/>
  <c r="E21" i="7" s="1"/>
  <c r="E22" i="7" s="1"/>
  <c r="E23" i="7" s="1"/>
  <c r="E24" i="7" s="1"/>
  <c r="E25" i="7" s="1"/>
  <c r="E26" i="7" s="1"/>
  <c r="E27" i="7" s="1"/>
  <c r="E28" i="7" s="1"/>
  <c r="E29" i="7" s="1"/>
  <c r="E30" i="7" s="1"/>
  <c r="E31" i="7" s="1"/>
  <c r="E2" i="8"/>
  <c r="E3" i="8" s="1"/>
  <c r="E4" i="8" s="1"/>
  <c r="E5" i="8" s="1"/>
  <c r="E6" i="8" s="1"/>
  <c r="E7" i="8" s="1"/>
  <c r="E8" i="8" s="1"/>
  <c r="E9" i="8" s="1"/>
  <c r="E10" i="8" s="1"/>
  <c r="E11" i="8" s="1"/>
  <c r="E12" i="8" s="1"/>
  <c r="E13" i="8" s="1"/>
  <c r="E14" i="8" s="1"/>
  <c r="E15" i="8" s="1"/>
  <c r="E16" i="8" s="1"/>
  <c r="E17" i="8" s="1"/>
  <c r="E18" i="8" s="1"/>
  <c r="E19" i="8" s="1"/>
  <c r="E20" i="8" s="1"/>
  <c r="E21" i="8" s="1"/>
  <c r="E22" i="8" s="1"/>
  <c r="E23" i="8" s="1"/>
  <c r="E24" i="8" s="1"/>
  <c r="E25" i="8" s="1"/>
  <c r="E26" i="8" s="1"/>
  <c r="E27" i="8" s="1"/>
  <c r="E28" i="8" s="1"/>
  <c r="E29" i="8" s="1"/>
  <c r="E30" i="8" s="1"/>
  <c r="E31" i="8" s="1"/>
  <c r="E2" i="9"/>
  <c r="E3" i="9" s="1"/>
  <c r="E4" i="9" s="1"/>
  <c r="E5" i="9" s="1"/>
  <c r="E6" i="9" s="1"/>
  <c r="E7" i="9" s="1"/>
  <c r="E8" i="9" s="1"/>
  <c r="E9" i="9" s="1"/>
  <c r="E10" i="9" s="1"/>
  <c r="E11" i="9" s="1"/>
  <c r="E12" i="9" s="1"/>
  <c r="E13" i="9" s="1"/>
  <c r="E14" i="9" s="1"/>
  <c r="E15" i="9" s="1"/>
  <c r="E16" i="9" s="1"/>
  <c r="E17" i="9" s="1"/>
  <c r="E18" i="9" s="1"/>
  <c r="E19" i="9" s="1"/>
  <c r="E20" i="9" s="1"/>
  <c r="E21" i="9" s="1"/>
  <c r="E22" i="9" s="1"/>
  <c r="E23" i="9" s="1"/>
  <c r="E24" i="9" s="1"/>
  <c r="E25" i="9" s="1"/>
  <c r="E26" i="9" s="1"/>
  <c r="E27" i="9" s="1"/>
  <c r="E28" i="9" s="1"/>
  <c r="E29" i="9" s="1"/>
  <c r="E30" i="9" s="1"/>
  <c r="E31" i="9" s="1"/>
  <c r="E2" i="13"/>
  <c r="E3" i="13" s="1"/>
  <c r="E4" i="13" s="1"/>
  <c r="E5" i="13" s="1"/>
  <c r="E6" i="13" s="1"/>
  <c r="E7" i="13" s="1"/>
  <c r="E8" i="13" s="1"/>
  <c r="E9" i="13" s="1"/>
  <c r="E10" i="13" s="1"/>
  <c r="E11" i="13" s="1"/>
  <c r="E12" i="13" s="1"/>
  <c r="E13" i="13" s="1"/>
  <c r="E14" i="13" s="1"/>
  <c r="E15" i="13" s="1"/>
  <c r="E16" i="13" s="1"/>
  <c r="E17" i="13" s="1"/>
  <c r="E18" i="13" s="1"/>
  <c r="E19" i="13" s="1"/>
  <c r="E20" i="13" s="1"/>
  <c r="E21" i="13" s="1"/>
  <c r="E22" i="13" s="1"/>
  <c r="E23" i="13" s="1"/>
  <c r="E24" i="13" s="1"/>
  <c r="E25" i="13" s="1"/>
  <c r="E26" i="13" s="1"/>
  <c r="E27" i="13" s="1"/>
  <c r="E28" i="13" s="1"/>
  <c r="E29" i="13" s="1"/>
  <c r="E30" i="13" s="1"/>
  <c r="E31" i="13" s="1"/>
  <c r="G2" i="1"/>
  <c r="K2" i="1" s="1"/>
  <c r="N2" i="1" l="1"/>
  <c r="L2" i="1"/>
  <c r="O2" i="1" s="1"/>
  <c r="G3" i="1"/>
  <c r="K3" i="1" l="1"/>
  <c r="N3" i="1" s="1"/>
  <c r="L3" i="1"/>
  <c r="O3" i="1" s="1"/>
  <c r="G4" i="1"/>
  <c r="L4" i="1" l="1"/>
  <c r="O4" i="1" s="1"/>
  <c r="K4" i="1"/>
  <c r="N4" i="1" s="1"/>
  <c r="G5" i="1"/>
  <c r="K5" i="1" l="1"/>
  <c r="N5" i="1" s="1"/>
  <c r="G6" i="1"/>
  <c r="L5" i="1"/>
  <c r="O5" i="1" s="1"/>
  <c r="K6" i="1" l="1"/>
  <c r="N6" i="1" s="1"/>
  <c r="G7" i="1"/>
  <c r="L6" i="1"/>
  <c r="O6" i="1" s="1"/>
  <c r="L7" i="1" l="1"/>
  <c r="O7" i="1" s="1"/>
  <c r="G8" i="1"/>
  <c r="K7" i="1"/>
  <c r="N7" i="1" s="1"/>
  <c r="L8" i="1" l="1"/>
  <c r="O8" i="1" s="1"/>
  <c r="G9" i="1"/>
  <c r="K8" i="1"/>
  <c r="N8" i="1" s="1"/>
  <c r="K9" i="1" l="1"/>
  <c r="N9" i="1" s="1"/>
  <c r="G10" i="1"/>
  <c r="L9" i="1"/>
  <c r="O9" i="1" s="1"/>
  <c r="K10" i="1" l="1"/>
  <c r="N10" i="1" s="1"/>
  <c r="G11" i="1"/>
  <c r="L10" i="1"/>
  <c r="O10" i="1" s="1"/>
  <c r="K11" i="1" l="1"/>
  <c r="N11" i="1" s="1"/>
  <c r="L11" i="1"/>
  <c r="O11" i="1" s="1"/>
  <c r="G12" i="1"/>
  <c r="L12" i="1" l="1"/>
  <c r="O12" i="1" s="1"/>
  <c r="K12" i="1"/>
  <c r="N12" i="1" s="1"/>
  <c r="G13" i="1"/>
  <c r="K13" i="1" l="1"/>
  <c r="N13" i="1" s="1"/>
  <c r="G14" i="1"/>
  <c r="L13" i="1"/>
  <c r="O13" i="1" s="1"/>
  <c r="K14" i="1" l="1"/>
  <c r="N14" i="1" s="1"/>
  <c r="G15" i="1"/>
  <c r="L14" i="1"/>
  <c r="O14" i="1" s="1"/>
  <c r="L15" i="1" l="1"/>
  <c r="O15" i="1" s="1"/>
  <c r="G16" i="1"/>
  <c r="K15" i="1"/>
  <c r="N15" i="1" s="1"/>
  <c r="L16" i="1" l="1"/>
  <c r="O16" i="1" s="1"/>
  <c r="G17" i="1"/>
  <c r="K16" i="1"/>
  <c r="N16" i="1" s="1"/>
  <c r="K17" i="1" l="1"/>
  <c r="N17" i="1" s="1"/>
  <c r="G18" i="1"/>
  <c r="L17" i="1"/>
  <c r="O17" i="1" s="1"/>
  <c r="K18" i="1" l="1"/>
  <c r="N18" i="1" s="1"/>
  <c r="G19" i="1"/>
  <c r="L18" i="1"/>
  <c r="O18" i="1" s="1"/>
  <c r="K19" i="1" l="1"/>
  <c r="N19" i="1" s="1"/>
  <c r="L19" i="1"/>
  <c r="O19" i="1" s="1"/>
  <c r="G20" i="1"/>
  <c r="L20" i="1" l="1"/>
  <c r="O20" i="1" s="1"/>
  <c r="K20" i="1"/>
  <c r="N20" i="1" s="1"/>
  <c r="G21" i="1"/>
  <c r="K21" i="1" l="1"/>
  <c r="N21" i="1" s="1"/>
  <c r="G22" i="1"/>
  <c r="L21" i="1"/>
  <c r="O21" i="1" s="1"/>
  <c r="K22" i="1" l="1"/>
  <c r="N22" i="1" s="1"/>
  <c r="G23" i="1"/>
  <c r="L22" i="1"/>
  <c r="O22" i="1" s="1"/>
  <c r="L23" i="1" l="1"/>
  <c r="O23" i="1" s="1"/>
  <c r="G24" i="1"/>
  <c r="K23" i="1"/>
  <c r="N23" i="1" s="1"/>
  <c r="L24" i="1" l="1"/>
  <c r="O24" i="1" s="1"/>
  <c r="G25" i="1"/>
  <c r="K24" i="1"/>
  <c r="N24" i="1" s="1"/>
  <c r="K25" i="1" l="1"/>
  <c r="N25" i="1" s="1"/>
  <c r="G26" i="1"/>
  <c r="L25" i="1"/>
  <c r="O25" i="1" s="1"/>
  <c r="K26" i="1" l="1"/>
  <c r="N26" i="1" s="1"/>
  <c r="G27" i="1"/>
  <c r="L26" i="1"/>
  <c r="O26" i="1" s="1"/>
  <c r="L27" i="1" l="1"/>
  <c r="O27" i="1" s="1"/>
  <c r="G28" i="1"/>
  <c r="K27" i="1"/>
  <c r="N27" i="1" s="1"/>
  <c r="L28" i="1" l="1"/>
  <c r="O28" i="1" s="1"/>
  <c r="K28" i="1"/>
  <c r="N28" i="1" s="1"/>
  <c r="G29" i="1"/>
  <c r="K29" i="1" l="1"/>
  <c r="N29" i="1" s="1"/>
  <c r="G30" i="1"/>
  <c r="L29" i="1"/>
  <c r="O29" i="1" s="1"/>
  <c r="K30" i="1" l="1"/>
  <c r="N30" i="1" s="1"/>
  <c r="G31" i="1"/>
  <c r="L30" i="1"/>
  <c r="O30" i="1" s="1"/>
  <c r="L31" i="1" l="1"/>
  <c r="O31" i="1" s="1"/>
  <c r="K31" i="1"/>
  <c r="N31" i="1" s="1"/>
  <c r="G2" i="10"/>
  <c r="K2" i="10" s="1"/>
  <c r="N2" i="10" s="1"/>
  <c r="G2" i="11"/>
  <c r="K2" i="11" s="1"/>
  <c r="N2" i="11" s="1"/>
  <c r="G2" i="12"/>
  <c r="L2" i="12" s="1"/>
  <c r="O2" i="12" s="1"/>
  <c r="G2" i="2"/>
  <c r="L2" i="2" s="1"/>
  <c r="O2" i="2" s="1"/>
  <c r="G2" i="3"/>
  <c r="K2" i="3" s="1"/>
  <c r="N2" i="3" s="1"/>
  <c r="G2" i="4"/>
  <c r="K2" i="4" s="1"/>
  <c r="N2" i="4" s="1"/>
  <c r="G2" i="5"/>
  <c r="L2" i="5" s="1"/>
  <c r="O2" i="5" s="1"/>
  <c r="G2" i="6"/>
  <c r="L2" i="6" s="1"/>
  <c r="O2" i="6" s="1"/>
  <c r="G2" i="7"/>
  <c r="K2" i="7" s="1"/>
  <c r="N2" i="7" s="1"/>
  <c r="G2" i="8"/>
  <c r="L2" i="8" s="1"/>
  <c r="O2" i="8" s="1"/>
  <c r="G2" i="9"/>
  <c r="K2" i="9" s="1"/>
  <c r="N2" i="9" s="1"/>
  <c r="G2" i="13"/>
  <c r="K2" i="2" l="1"/>
  <c r="N2" i="2" s="1"/>
  <c r="L2" i="11"/>
  <c r="O2" i="11" s="1"/>
  <c r="K2" i="12"/>
  <c r="N2" i="12" s="1"/>
  <c r="K2" i="8"/>
  <c r="N2" i="8" s="1"/>
  <c r="K2" i="6"/>
  <c r="N2" i="6" s="1"/>
  <c r="L2" i="4"/>
  <c r="O2" i="4" s="1"/>
  <c r="G3" i="2"/>
  <c r="G4" i="2" s="1"/>
  <c r="G5" i="2" s="1"/>
  <c r="K2" i="5"/>
  <c r="N2" i="5" s="1"/>
  <c r="L2" i="7"/>
  <c r="O2" i="7" s="1"/>
  <c r="G3" i="9"/>
  <c r="K3" i="9" s="1"/>
  <c r="N3" i="9" s="1"/>
  <c r="L2" i="9"/>
  <c r="O2" i="9" s="1"/>
  <c r="G3" i="8"/>
  <c r="G4" i="8" s="1"/>
  <c r="K4" i="8" s="1"/>
  <c r="N4" i="8" s="1"/>
  <c r="G3" i="5"/>
  <c r="K3" i="5" s="1"/>
  <c r="N3" i="5" s="1"/>
  <c r="G3" i="12"/>
  <c r="L3" i="12" s="1"/>
  <c r="O3" i="12" s="1"/>
  <c r="K2" i="13"/>
  <c r="N2" i="13" s="1"/>
  <c r="G3" i="13"/>
  <c r="L2" i="13"/>
  <c r="O2" i="13" s="1"/>
  <c r="L2" i="10"/>
  <c r="O2" i="10" s="1"/>
  <c r="G3" i="10"/>
  <c r="G3" i="6"/>
  <c r="L2" i="3"/>
  <c r="O2" i="3" s="1"/>
  <c r="G3" i="3"/>
  <c r="G3" i="7"/>
  <c r="G3" i="4"/>
  <c r="G3" i="11"/>
  <c r="G4" i="12" l="1"/>
  <c r="G5" i="12" s="1"/>
  <c r="K3" i="12"/>
  <c r="N3" i="12" s="1"/>
  <c r="L3" i="8"/>
  <c r="O3" i="8" s="1"/>
  <c r="K4" i="2"/>
  <c r="N4" i="2" s="1"/>
  <c r="L3" i="2"/>
  <c r="O3" i="2" s="1"/>
  <c r="K3" i="2"/>
  <c r="N3" i="2" s="1"/>
  <c r="L4" i="8"/>
  <c r="O4" i="8" s="1"/>
  <c r="G5" i="8"/>
  <c r="G6" i="8" s="1"/>
  <c r="L4" i="2"/>
  <c r="O4" i="2" s="1"/>
  <c r="G4" i="5"/>
  <c r="K4" i="5" s="1"/>
  <c r="N4" i="5" s="1"/>
  <c r="K3" i="8"/>
  <c r="N3" i="8" s="1"/>
  <c r="L3" i="5"/>
  <c r="O3" i="5" s="1"/>
  <c r="L3" i="9"/>
  <c r="O3" i="9" s="1"/>
  <c r="G4" i="9"/>
  <c r="K3" i="10"/>
  <c r="N3" i="10" s="1"/>
  <c r="G4" i="10"/>
  <c r="L3" i="10"/>
  <c r="O3" i="10" s="1"/>
  <c r="K3" i="11"/>
  <c r="N3" i="11" s="1"/>
  <c r="L3" i="11"/>
  <c r="O3" i="11" s="1"/>
  <c r="G4" i="11"/>
  <c r="K3" i="4"/>
  <c r="N3" i="4" s="1"/>
  <c r="L3" i="4"/>
  <c r="O3" i="4" s="1"/>
  <c r="G4" i="4"/>
  <c r="K3" i="7"/>
  <c r="N3" i="7" s="1"/>
  <c r="L3" i="7"/>
  <c r="O3" i="7" s="1"/>
  <c r="G4" i="7"/>
  <c r="K5" i="2"/>
  <c r="N5" i="2" s="1"/>
  <c r="G6" i="2"/>
  <c r="L5" i="2"/>
  <c r="O5" i="2" s="1"/>
  <c r="K3" i="13"/>
  <c r="N3" i="13" s="1"/>
  <c r="G4" i="13"/>
  <c r="L3" i="13"/>
  <c r="O3" i="13" s="1"/>
  <c r="K4" i="12"/>
  <c r="N4" i="12" s="1"/>
  <c r="K3" i="3"/>
  <c r="N3" i="3" s="1"/>
  <c r="G4" i="3"/>
  <c r="L3" i="3"/>
  <c r="O3" i="3" s="1"/>
  <c r="K3" i="6"/>
  <c r="N3" i="6" s="1"/>
  <c r="G4" i="6"/>
  <c r="L3" i="6"/>
  <c r="O3" i="6" s="1"/>
  <c r="L4" i="12" l="1"/>
  <c r="O4" i="12" s="1"/>
  <c r="L4" i="5"/>
  <c r="O4" i="5" s="1"/>
  <c r="K5" i="8"/>
  <c r="N5" i="8" s="1"/>
  <c r="L5" i="8"/>
  <c r="O5" i="8" s="1"/>
  <c r="G5" i="5"/>
  <c r="K5" i="5" s="1"/>
  <c r="N5" i="5" s="1"/>
  <c r="G5" i="9"/>
  <c r="K4" i="9"/>
  <c r="N4" i="9" s="1"/>
  <c r="L4" i="9"/>
  <c r="O4" i="9" s="1"/>
  <c r="L4" i="7"/>
  <c r="O4" i="7" s="1"/>
  <c r="K4" i="7"/>
  <c r="N4" i="7" s="1"/>
  <c r="G5" i="7"/>
  <c r="K5" i="12"/>
  <c r="N5" i="12" s="1"/>
  <c r="L5" i="12"/>
  <c r="O5" i="12" s="1"/>
  <c r="G6" i="12"/>
  <c r="K4" i="3"/>
  <c r="N4" i="3" s="1"/>
  <c r="G5" i="3"/>
  <c r="L4" i="3"/>
  <c r="O4" i="3" s="1"/>
  <c r="L6" i="2"/>
  <c r="O6" i="2" s="1"/>
  <c r="G7" i="2"/>
  <c r="K6" i="2"/>
  <c r="N6" i="2" s="1"/>
  <c r="L4" i="11"/>
  <c r="O4" i="11" s="1"/>
  <c r="K4" i="11"/>
  <c r="N4" i="11" s="1"/>
  <c r="G5" i="11"/>
  <c r="K4" i="10"/>
  <c r="N4" i="10" s="1"/>
  <c r="G5" i="10"/>
  <c r="L4" i="10"/>
  <c r="O4" i="10" s="1"/>
  <c r="L6" i="8"/>
  <c r="O6" i="8" s="1"/>
  <c r="K6" i="8"/>
  <c r="N6" i="8" s="1"/>
  <c r="G7" i="8"/>
  <c r="K4" i="6"/>
  <c r="N4" i="6" s="1"/>
  <c r="G5" i="6"/>
  <c r="L4" i="6"/>
  <c r="O4" i="6" s="1"/>
  <c r="K4" i="13"/>
  <c r="N4" i="13" s="1"/>
  <c r="G5" i="13"/>
  <c r="L4" i="13"/>
  <c r="O4" i="13" s="1"/>
  <c r="L4" i="4"/>
  <c r="O4" i="4" s="1"/>
  <c r="K4" i="4"/>
  <c r="N4" i="4" s="1"/>
  <c r="G5" i="4"/>
  <c r="G6" i="5" l="1"/>
  <c r="L6" i="5" s="1"/>
  <c r="O6" i="5" s="1"/>
  <c r="L5" i="5"/>
  <c r="O5" i="5" s="1"/>
  <c r="L5" i="9"/>
  <c r="O5" i="9" s="1"/>
  <c r="K5" i="9"/>
  <c r="N5" i="9" s="1"/>
  <c r="G6" i="9"/>
  <c r="K5" i="4"/>
  <c r="N5" i="4" s="1"/>
  <c r="G6" i="4"/>
  <c r="L5" i="4"/>
  <c r="O5" i="4" s="1"/>
  <c r="L5" i="13"/>
  <c r="O5" i="13" s="1"/>
  <c r="K5" i="13"/>
  <c r="N5" i="13" s="1"/>
  <c r="G6" i="13"/>
  <c r="K6" i="12"/>
  <c r="N6" i="12" s="1"/>
  <c r="L6" i="12"/>
  <c r="O6" i="12" s="1"/>
  <c r="G7" i="12"/>
  <c r="L7" i="8"/>
  <c r="O7" i="8" s="1"/>
  <c r="K7" i="8"/>
  <c r="N7" i="8" s="1"/>
  <c r="G8" i="8"/>
  <c r="G6" i="10"/>
  <c r="K5" i="10"/>
  <c r="N5" i="10" s="1"/>
  <c r="L5" i="10"/>
  <c r="O5" i="10" s="1"/>
  <c r="G6" i="3"/>
  <c r="K5" i="3"/>
  <c r="N5" i="3" s="1"/>
  <c r="L5" i="3"/>
  <c r="O5" i="3" s="1"/>
  <c r="K5" i="7"/>
  <c r="N5" i="7" s="1"/>
  <c r="G6" i="7"/>
  <c r="L5" i="7"/>
  <c r="O5" i="7" s="1"/>
  <c r="G6" i="6"/>
  <c r="K5" i="6"/>
  <c r="N5" i="6" s="1"/>
  <c r="L5" i="6"/>
  <c r="O5" i="6" s="1"/>
  <c r="K5" i="11"/>
  <c r="N5" i="11" s="1"/>
  <c r="G6" i="11"/>
  <c r="L5" i="11"/>
  <c r="O5" i="11" s="1"/>
  <c r="L7" i="2"/>
  <c r="O7" i="2" s="1"/>
  <c r="K7" i="2"/>
  <c r="N7" i="2" s="1"/>
  <c r="G8" i="2"/>
  <c r="G7" i="5"/>
  <c r="K6" i="5" l="1"/>
  <c r="N6" i="5" s="1"/>
  <c r="G7" i="9"/>
  <c r="K6" i="9"/>
  <c r="N6" i="9" s="1"/>
  <c r="L6" i="9"/>
  <c r="O6" i="9" s="1"/>
  <c r="K7" i="5"/>
  <c r="N7" i="5" s="1"/>
  <c r="G8" i="5"/>
  <c r="L7" i="5"/>
  <c r="O7" i="5" s="1"/>
  <c r="K6" i="7"/>
  <c r="N6" i="7" s="1"/>
  <c r="G7" i="7"/>
  <c r="L6" i="7"/>
  <c r="O6" i="7" s="1"/>
  <c r="K6" i="13"/>
  <c r="N6" i="13" s="1"/>
  <c r="G7" i="13"/>
  <c r="L6" i="13"/>
  <c r="O6" i="13" s="1"/>
  <c r="K6" i="4"/>
  <c r="N6" i="4" s="1"/>
  <c r="G7" i="4"/>
  <c r="L6" i="4"/>
  <c r="O6" i="4" s="1"/>
  <c r="L6" i="3"/>
  <c r="O6" i="3" s="1"/>
  <c r="K6" i="3"/>
  <c r="N6" i="3" s="1"/>
  <c r="G7" i="3"/>
  <c r="K8" i="8"/>
  <c r="N8" i="8" s="1"/>
  <c r="G9" i="8"/>
  <c r="L8" i="8"/>
  <c r="O8" i="8" s="1"/>
  <c r="L8" i="2"/>
  <c r="O8" i="2" s="1"/>
  <c r="G9" i="2"/>
  <c r="K8" i="2"/>
  <c r="N8" i="2" s="1"/>
  <c r="K6" i="11"/>
  <c r="N6" i="11" s="1"/>
  <c r="G7" i="11"/>
  <c r="L6" i="11"/>
  <c r="O6" i="11" s="1"/>
  <c r="L6" i="6"/>
  <c r="O6" i="6" s="1"/>
  <c r="K6" i="6"/>
  <c r="N6" i="6" s="1"/>
  <c r="G7" i="6"/>
  <c r="L6" i="10"/>
  <c r="O6" i="10" s="1"/>
  <c r="K6" i="10"/>
  <c r="N6" i="10" s="1"/>
  <c r="G7" i="10"/>
  <c r="L7" i="12"/>
  <c r="O7" i="12" s="1"/>
  <c r="K7" i="12"/>
  <c r="N7" i="12" s="1"/>
  <c r="G8" i="12"/>
  <c r="G8" i="9" l="1"/>
  <c r="K7" i="9"/>
  <c r="N7" i="9" s="1"/>
  <c r="L7" i="9"/>
  <c r="O7" i="9" s="1"/>
  <c r="K8" i="12"/>
  <c r="N8" i="12" s="1"/>
  <c r="G9" i="12"/>
  <c r="L8" i="12"/>
  <c r="O8" i="12" s="1"/>
  <c r="L9" i="8"/>
  <c r="O9" i="8" s="1"/>
  <c r="K9" i="8"/>
  <c r="N9" i="8" s="1"/>
  <c r="G10" i="8"/>
  <c r="K9" i="2"/>
  <c r="N9" i="2" s="1"/>
  <c r="G10" i="2"/>
  <c r="L9" i="2"/>
  <c r="O9" i="2" s="1"/>
  <c r="L7" i="4"/>
  <c r="O7" i="4" s="1"/>
  <c r="G8" i="4"/>
  <c r="K7" i="4"/>
  <c r="N7" i="4" s="1"/>
  <c r="K7" i="6"/>
  <c r="N7" i="6" s="1"/>
  <c r="G8" i="6"/>
  <c r="L7" i="6"/>
  <c r="O7" i="6" s="1"/>
  <c r="L7" i="11"/>
  <c r="O7" i="11" s="1"/>
  <c r="G8" i="11"/>
  <c r="K7" i="11"/>
  <c r="N7" i="11" s="1"/>
  <c r="K7" i="3"/>
  <c r="N7" i="3" s="1"/>
  <c r="G8" i="3"/>
  <c r="L7" i="3"/>
  <c r="O7" i="3" s="1"/>
  <c r="K8" i="5"/>
  <c r="N8" i="5" s="1"/>
  <c r="G9" i="5"/>
  <c r="L8" i="5"/>
  <c r="O8" i="5" s="1"/>
  <c r="K7" i="13"/>
  <c r="N7" i="13" s="1"/>
  <c r="G8" i="13"/>
  <c r="L7" i="13"/>
  <c r="O7" i="13" s="1"/>
  <c r="K7" i="10"/>
  <c r="N7" i="10" s="1"/>
  <c r="G8" i="10"/>
  <c r="L7" i="10"/>
  <c r="O7" i="10" s="1"/>
  <c r="L7" i="7"/>
  <c r="O7" i="7" s="1"/>
  <c r="G8" i="7"/>
  <c r="K7" i="7"/>
  <c r="N7" i="7" s="1"/>
  <c r="G9" i="9" l="1"/>
  <c r="L8" i="9"/>
  <c r="O8" i="9" s="1"/>
  <c r="K8" i="9"/>
  <c r="N8" i="9" s="1"/>
  <c r="K8" i="10"/>
  <c r="N8" i="10" s="1"/>
  <c r="G9" i="10"/>
  <c r="L8" i="10"/>
  <c r="O8" i="10" s="1"/>
  <c r="K8" i="3"/>
  <c r="N8" i="3" s="1"/>
  <c r="G9" i="3"/>
  <c r="L8" i="3"/>
  <c r="O8" i="3" s="1"/>
  <c r="G11" i="2"/>
  <c r="K10" i="2"/>
  <c r="N10" i="2" s="1"/>
  <c r="L10" i="2"/>
  <c r="O10" i="2" s="1"/>
  <c r="L8" i="7"/>
  <c r="O8" i="7" s="1"/>
  <c r="G9" i="7"/>
  <c r="K8" i="7"/>
  <c r="N8" i="7" s="1"/>
  <c r="L8" i="4"/>
  <c r="O8" i="4" s="1"/>
  <c r="G9" i="4"/>
  <c r="K8" i="4"/>
  <c r="N8" i="4" s="1"/>
  <c r="L9" i="5"/>
  <c r="O9" i="5" s="1"/>
  <c r="G10" i="5"/>
  <c r="K9" i="5"/>
  <c r="N9" i="5" s="1"/>
  <c r="K8" i="6"/>
  <c r="N8" i="6" s="1"/>
  <c r="G9" i="6"/>
  <c r="L8" i="6"/>
  <c r="O8" i="6" s="1"/>
  <c r="K10" i="8"/>
  <c r="N10" i="8" s="1"/>
  <c r="G11" i="8"/>
  <c r="L10" i="8"/>
  <c r="O10" i="8" s="1"/>
  <c r="L9" i="12"/>
  <c r="O9" i="12" s="1"/>
  <c r="G10" i="12"/>
  <c r="K9" i="12"/>
  <c r="N9" i="12" s="1"/>
  <c r="G9" i="13"/>
  <c r="L8" i="13"/>
  <c r="O8" i="13" s="1"/>
  <c r="K8" i="13"/>
  <c r="N8" i="13" s="1"/>
  <c r="L8" i="11"/>
  <c r="O8" i="11" s="1"/>
  <c r="G9" i="11"/>
  <c r="K8" i="11"/>
  <c r="N8" i="11" s="1"/>
  <c r="K9" i="9" l="1"/>
  <c r="N9" i="9" s="1"/>
  <c r="G10" i="9"/>
  <c r="L9" i="9"/>
  <c r="O9" i="9" s="1"/>
  <c r="K9" i="6"/>
  <c r="N9" i="6" s="1"/>
  <c r="G10" i="6"/>
  <c r="L9" i="6"/>
  <c r="O9" i="6" s="1"/>
  <c r="K9" i="7"/>
  <c r="N9" i="7" s="1"/>
  <c r="G10" i="7"/>
  <c r="L9" i="7"/>
  <c r="O9" i="7" s="1"/>
  <c r="G12" i="2"/>
  <c r="K11" i="2"/>
  <c r="N11" i="2" s="1"/>
  <c r="L11" i="2"/>
  <c r="O11" i="2" s="1"/>
  <c r="K9" i="10"/>
  <c r="N9" i="10" s="1"/>
  <c r="L9" i="10"/>
  <c r="O9" i="10" s="1"/>
  <c r="G10" i="10"/>
  <c r="L10" i="5"/>
  <c r="O10" i="5" s="1"/>
  <c r="G11" i="5"/>
  <c r="K10" i="5"/>
  <c r="N10" i="5" s="1"/>
  <c r="K9" i="11"/>
  <c r="N9" i="11" s="1"/>
  <c r="G10" i="11"/>
  <c r="L9" i="11"/>
  <c r="O9" i="11" s="1"/>
  <c r="L9" i="13"/>
  <c r="O9" i="13" s="1"/>
  <c r="K9" i="13"/>
  <c r="N9" i="13" s="1"/>
  <c r="G10" i="13"/>
  <c r="K11" i="8"/>
  <c r="N11" i="8" s="1"/>
  <c r="G12" i="8"/>
  <c r="L11" i="8"/>
  <c r="O11" i="8" s="1"/>
  <c r="L10" i="12"/>
  <c r="O10" i="12" s="1"/>
  <c r="K10" i="12"/>
  <c r="N10" i="12" s="1"/>
  <c r="G11" i="12"/>
  <c r="K9" i="4"/>
  <c r="N9" i="4" s="1"/>
  <c r="G10" i="4"/>
  <c r="L9" i="4"/>
  <c r="O9" i="4" s="1"/>
  <c r="K9" i="3"/>
  <c r="N9" i="3" s="1"/>
  <c r="L9" i="3"/>
  <c r="O9" i="3" s="1"/>
  <c r="G10" i="3"/>
  <c r="K10" i="9" l="1"/>
  <c r="N10" i="9" s="1"/>
  <c r="L10" i="9"/>
  <c r="O10" i="9" s="1"/>
  <c r="G11" i="9"/>
  <c r="L10" i="10"/>
  <c r="O10" i="10" s="1"/>
  <c r="G11" i="10"/>
  <c r="K10" i="10"/>
  <c r="N10" i="10" s="1"/>
  <c r="K11" i="12"/>
  <c r="N11" i="12" s="1"/>
  <c r="G12" i="12"/>
  <c r="L11" i="12"/>
  <c r="O11" i="12" s="1"/>
  <c r="L12" i="8"/>
  <c r="O12" i="8" s="1"/>
  <c r="K12" i="8"/>
  <c r="N12" i="8" s="1"/>
  <c r="G13" i="8"/>
  <c r="K11" i="5"/>
  <c r="N11" i="5" s="1"/>
  <c r="G12" i="5"/>
  <c r="L11" i="5"/>
  <c r="O11" i="5" s="1"/>
  <c r="L10" i="6"/>
  <c r="O10" i="6" s="1"/>
  <c r="G11" i="6"/>
  <c r="K10" i="6"/>
  <c r="N10" i="6" s="1"/>
  <c r="L10" i="3"/>
  <c r="O10" i="3" s="1"/>
  <c r="G11" i="3"/>
  <c r="K10" i="3"/>
  <c r="N10" i="3" s="1"/>
  <c r="L12" i="2"/>
  <c r="O12" i="2" s="1"/>
  <c r="G13" i="2"/>
  <c r="K12" i="2"/>
  <c r="N12" i="2" s="1"/>
  <c r="K10" i="4"/>
  <c r="N10" i="4" s="1"/>
  <c r="G11" i="4"/>
  <c r="L10" i="4"/>
  <c r="O10" i="4" s="1"/>
  <c r="K10" i="13"/>
  <c r="N10" i="13" s="1"/>
  <c r="G11" i="13"/>
  <c r="L10" i="13"/>
  <c r="O10" i="13" s="1"/>
  <c r="K10" i="11"/>
  <c r="N10" i="11" s="1"/>
  <c r="G11" i="11"/>
  <c r="L10" i="11"/>
  <c r="O10" i="11" s="1"/>
  <c r="K10" i="7"/>
  <c r="N10" i="7" s="1"/>
  <c r="G11" i="7"/>
  <c r="L10" i="7"/>
  <c r="O10" i="7" s="1"/>
  <c r="L11" i="9" l="1"/>
  <c r="O11" i="9" s="1"/>
  <c r="K11" i="9"/>
  <c r="N11" i="9" s="1"/>
  <c r="G12" i="9"/>
  <c r="K11" i="11"/>
  <c r="N11" i="11" s="1"/>
  <c r="L11" i="11"/>
  <c r="O11" i="11" s="1"/>
  <c r="G12" i="11"/>
  <c r="K13" i="2"/>
  <c r="N13" i="2" s="1"/>
  <c r="G14" i="2"/>
  <c r="L13" i="2"/>
  <c r="O13" i="2" s="1"/>
  <c r="K11" i="7"/>
  <c r="N11" i="7" s="1"/>
  <c r="G12" i="7"/>
  <c r="L11" i="7"/>
  <c r="O11" i="7" s="1"/>
  <c r="K12" i="5"/>
  <c r="N12" i="5" s="1"/>
  <c r="G13" i="5"/>
  <c r="L12" i="5"/>
  <c r="O12" i="5" s="1"/>
  <c r="K11" i="4"/>
  <c r="N11" i="4" s="1"/>
  <c r="L11" i="4"/>
  <c r="O11" i="4" s="1"/>
  <c r="G12" i="4"/>
  <c r="K11" i="6"/>
  <c r="N11" i="6" s="1"/>
  <c r="G12" i="6"/>
  <c r="L11" i="6"/>
  <c r="O11" i="6" s="1"/>
  <c r="K11" i="10"/>
  <c r="N11" i="10" s="1"/>
  <c r="G12" i="10"/>
  <c r="L11" i="10"/>
  <c r="O11" i="10" s="1"/>
  <c r="K11" i="13"/>
  <c r="N11" i="13" s="1"/>
  <c r="G12" i="13"/>
  <c r="L11" i="13"/>
  <c r="O11" i="13" s="1"/>
  <c r="K11" i="3"/>
  <c r="N11" i="3" s="1"/>
  <c r="G12" i="3"/>
  <c r="L11" i="3"/>
  <c r="O11" i="3" s="1"/>
  <c r="L13" i="8"/>
  <c r="O13" i="8" s="1"/>
  <c r="G14" i="8"/>
  <c r="K13" i="8"/>
  <c r="N13" i="8" s="1"/>
  <c r="K12" i="12"/>
  <c r="N12" i="12" s="1"/>
  <c r="G13" i="12"/>
  <c r="L12" i="12"/>
  <c r="O12" i="12" s="1"/>
  <c r="K12" i="9" l="1"/>
  <c r="N12" i="9" s="1"/>
  <c r="G13" i="9"/>
  <c r="L12" i="9"/>
  <c r="O12" i="9" s="1"/>
  <c r="L12" i="7"/>
  <c r="O12" i="7" s="1"/>
  <c r="K12" i="7"/>
  <c r="N12" i="7" s="1"/>
  <c r="G13" i="7"/>
  <c r="L12" i="11"/>
  <c r="O12" i="11" s="1"/>
  <c r="K12" i="11"/>
  <c r="N12" i="11" s="1"/>
  <c r="G13" i="11"/>
  <c r="K12" i="13"/>
  <c r="N12" i="13" s="1"/>
  <c r="L12" i="13"/>
  <c r="O12" i="13" s="1"/>
  <c r="G13" i="13"/>
  <c r="L12" i="4"/>
  <c r="O12" i="4" s="1"/>
  <c r="K12" i="4"/>
  <c r="N12" i="4" s="1"/>
  <c r="G13" i="4"/>
  <c r="K13" i="5"/>
  <c r="N13" i="5" s="1"/>
  <c r="L13" i="5"/>
  <c r="O13" i="5" s="1"/>
  <c r="G14" i="5"/>
  <c r="K14" i="8"/>
  <c r="N14" i="8" s="1"/>
  <c r="G15" i="8"/>
  <c r="L14" i="8"/>
  <c r="O14" i="8" s="1"/>
  <c r="K12" i="6"/>
  <c r="N12" i="6" s="1"/>
  <c r="G13" i="6"/>
  <c r="L12" i="6"/>
  <c r="O12" i="6" s="1"/>
  <c r="K13" i="12"/>
  <c r="N13" i="12" s="1"/>
  <c r="L13" i="12"/>
  <c r="O13" i="12" s="1"/>
  <c r="G14" i="12"/>
  <c r="K12" i="10"/>
  <c r="N12" i="10" s="1"/>
  <c r="G13" i="10"/>
  <c r="L12" i="10"/>
  <c r="O12" i="10" s="1"/>
  <c r="K12" i="3"/>
  <c r="N12" i="3" s="1"/>
  <c r="G13" i="3"/>
  <c r="L12" i="3"/>
  <c r="O12" i="3" s="1"/>
  <c r="K14" i="2"/>
  <c r="N14" i="2" s="1"/>
  <c r="G15" i="2"/>
  <c r="L14" i="2"/>
  <c r="O14" i="2" s="1"/>
  <c r="K13" i="9" l="1"/>
  <c r="N13" i="9" s="1"/>
  <c r="G14" i="9"/>
  <c r="L13" i="9"/>
  <c r="O13" i="9" s="1"/>
  <c r="G14" i="3"/>
  <c r="K13" i="3"/>
  <c r="N13" i="3" s="1"/>
  <c r="L13" i="3"/>
  <c r="O13" i="3" s="1"/>
  <c r="K15" i="2"/>
  <c r="N15" i="2" s="1"/>
  <c r="L15" i="2"/>
  <c r="O15" i="2" s="1"/>
  <c r="G16" i="2"/>
  <c r="L14" i="5"/>
  <c r="O14" i="5" s="1"/>
  <c r="K14" i="5"/>
  <c r="N14" i="5" s="1"/>
  <c r="G15" i="5"/>
  <c r="K13" i="7"/>
  <c r="N13" i="7" s="1"/>
  <c r="G14" i="7"/>
  <c r="L13" i="7"/>
  <c r="O13" i="7" s="1"/>
  <c r="G14" i="10"/>
  <c r="K13" i="10"/>
  <c r="N13" i="10" s="1"/>
  <c r="L13" i="10"/>
  <c r="O13" i="10" s="1"/>
  <c r="K13" i="11"/>
  <c r="N13" i="11" s="1"/>
  <c r="G14" i="11"/>
  <c r="L13" i="11"/>
  <c r="O13" i="11" s="1"/>
  <c r="L14" i="12"/>
  <c r="O14" i="12" s="1"/>
  <c r="G15" i="12"/>
  <c r="K14" i="12"/>
  <c r="N14" i="12" s="1"/>
  <c r="G14" i="6"/>
  <c r="K13" i="6"/>
  <c r="N13" i="6" s="1"/>
  <c r="L13" i="6"/>
  <c r="O13" i="6" s="1"/>
  <c r="K13" i="4"/>
  <c r="N13" i="4" s="1"/>
  <c r="G14" i="4"/>
  <c r="L13" i="4"/>
  <c r="O13" i="4" s="1"/>
  <c r="K15" i="8"/>
  <c r="N15" i="8" s="1"/>
  <c r="G16" i="8"/>
  <c r="L15" i="8"/>
  <c r="O15" i="8" s="1"/>
  <c r="L13" i="13"/>
  <c r="O13" i="13" s="1"/>
  <c r="G14" i="13"/>
  <c r="K13" i="13"/>
  <c r="N13" i="13" s="1"/>
  <c r="G15" i="9" l="1"/>
  <c r="K14" i="9"/>
  <c r="N14" i="9" s="1"/>
  <c r="L14" i="9"/>
  <c r="O14" i="9" s="1"/>
  <c r="L16" i="8"/>
  <c r="O16" i="8" s="1"/>
  <c r="G17" i="8"/>
  <c r="K16" i="8"/>
  <c r="N16" i="8" s="1"/>
  <c r="K14" i="11"/>
  <c r="N14" i="11" s="1"/>
  <c r="G15" i="11"/>
  <c r="L14" i="11"/>
  <c r="O14" i="11" s="1"/>
  <c r="L14" i="10"/>
  <c r="O14" i="10" s="1"/>
  <c r="K14" i="10"/>
  <c r="N14" i="10" s="1"/>
  <c r="G15" i="10"/>
  <c r="K14" i="13"/>
  <c r="N14" i="13" s="1"/>
  <c r="G15" i="13"/>
  <c r="L14" i="13"/>
  <c r="O14" i="13" s="1"/>
  <c r="K15" i="12"/>
  <c r="N15" i="12" s="1"/>
  <c r="G16" i="12"/>
  <c r="L15" i="12"/>
  <c r="O15" i="12" s="1"/>
  <c r="K14" i="7"/>
  <c r="N14" i="7" s="1"/>
  <c r="G15" i="7"/>
  <c r="L14" i="7"/>
  <c r="O14" i="7" s="1"/>
  <c r="L16" i="2"/>
  <c r="O16" i="2" s="1"/>
  <c r="G17" i="2"/>
  <c r="K16" i="2"/>
  <c r="N16" i="2" s="1"/>
  <c r="K14" i="4"/>
  <c r="N14" i="4" s="1"/>
  <c r="G15" i="4"/>
  <c r="L14" i="4"/>
  <c r="O14" i="4" s="1"/>
  <c r="L14" i="6"/>
  <c r="O14" i="6" s="1"/>
  <c r="K14" i="6"/>
  <c r="N14" i="6" s="1"/>
  <c r="G15" i="6"/>
  <c r="K15" i="5"/>
  <c r="N15" i="5" s="1"/>
  <c r="G16" i="5"/>
  <c r="L15" i="5"/>
  <c r="O15" i="5" s="1"/>
  <c r="L14" i="3"/>
  <c r="O14" i="3" s="1"/>
  <c r="K14" i="3"/>
  <c r="N14" i="3" s="1"/>
  <c r="G15" i="3"/>
  <c r="G16" i="9" l="1"/>
  <c r="K15" i="9"/>
  <c r="N15" i="9" s="1"/>
  <c r="L15" i="9"/>
  <c r="O15" i="9" s="1"/>
  <c r="K15" i="6"/>
  <c r="N15" i="6" s="1"/>
  <c r="G16" i="6"/>
  <c r="L15" i="6"/>
  <c r="O15" i="6" s="1"/>
  <c r="L15" i="4"/>
  <c r="O15" i="4" s="1"/>
  <c r="G16" i="4"/>
  <c r="K15" i="4"/>
  <c r="N15" i="4" s="1"/>
  <c r="K15" i="3"/>
  <c r="N15" i="3" s="1"/>
  <c r="G16" i="3"/>
  <c r="L15" i="3"/>
  <c r="O15" i="3" s="1"/>
  <c r="K16" i="5"/>
  <c r="N16" i="5" s="1"/>
  <c r="G17" i="5"/>
  <c r="L16" i="5"/>
  <c r="O16" i="5" s="1"/>
  <c r="K17" i="2"/>
  <c r="N17" i="2" s="1"/>
  <c r="G18" i="2"/>
  <c r="L17" i="2"/>
  <c r="O17" i="2" s="1"/>
  <c r="K15" i="13"/>
  <c r="N15" i="13" s="1"/>
  <c r="G16" i="13"/>
  <c r="L15" i="13"/>
  <c r="O15" i="13" s="1"/>
  <c r="K16" i="12"/>
  <c r="N16" i="12" s="1"/>
  <c r="G17" i="12"/>
  <c r="L16" i="12"/>
  <c r="O16" i="12" s="1"/>
  <c r="L17" i="8"/>
  <c r="O17" i="8" s="1"/>
  <c r="K17" i="8"/>
  <c r="N17" i="8" s="1"/>
  <c r="G18" i="8"/>
  <c r="L15" i="7"/>
  <c r="O15" i="7" s="1"/>
  <c r="G16" i="7"/>
  <c r="K15" i="7"/>
  <c r="N15" i="7" s="1"/>
  <c r="K15" i="10"/>
  <c r="N15" i="10" s="1"/>
  <c r="G16" i="10"/>
  <c r="L15" i="10"/>
  <c r="O15" i="10" s="1"/>
  <c r="L15" i="11"/>
  <c r="O15" i="11" s="1"/>
  <c r="G16" i="11"/>
  <c r="K15" i="11"/>
  <c r="N15" i="11" s="1"/>
  <c r="G17" i="9" l="1"/>
  <c r="L16" i="9"/>
  <c r="O16" i="9" s="1"/>
  <c r="K16" i="9"/>
  <c r="N16" i="9" s="1"/>
  <c r="K16" i="6"/>
  <c r="N16" i="6" s="1"/>
  <c r="G17" i="6"/>
  <c r="L16" i="6"/>
  <c r="O16" i="6" s="1"/>
  <c r="L16" i="7"/>
  <c r="O16" i="7" s="1"/>
  <c r="G17" i="7"/>
  <c r="K16" i="7"/>
  <c r="N16" i="7" s="1"/>
  <c r="K18" i="2"/>
  <c r="N18" i="2" s="1"/>
  <c r="G19" i="2"/>
  <c r="L18" i="2"/>
  <c r="O18" i="2" s="1"/>
  <c r="L16" i="4"/>
  <c r="O16" i="4" s="1"/>
  <c r="G17" i="4"/>
  <c r="K16" i="4"/>
  <c r="N16" i="4" s="1"/>
  <c r="K16" i="10"/>
  <c r="N16" i="10" s="1"/>
  <c r="G17" i="10"/>
  <c r="L16" i="10"/>
  <c r="O16" i="10" s="1"/>
  <c r="G17" i="13"/>
  <c r="L16" i="13"/>
  <c r="O16" i="13" s="1"/>
  <c r="K16" i="13"/>
  <c r="N16" i="13" s="1"/>
  <c r="K16" i="3"/>
  <c r="N16" i="3" s="1"/>
  <c r="G17" i="3"/>
  <c r="L16" i="3"/>
  <c r="O16" i="3" s="1"/>
  <c r="L16" i="11"/>
  <c r="O16" i="11" s="1"/>
  <c r="G17" i="11"/>
  <c r="K16" i="11"/>
  <c r="N16" i="11" s="1"/>
  <c r="K18" i="8"/>
  <c r="N18" i="8" s="1"/>
  <c r="G19" i="8"/>
  <c r="L18" i="8"/>
  <c r="O18" i="8" s="1"/>
  <c r="G18" i="12"/>
  <c r="K17" i="12"/>
  <c r="N17" i="12" s="1"/>
  <c r="L17" i="12"/>
  <c r="O17" i="12" s="1"/>
  <c r="L17" i="5"/>
  <c r="O17" i="5" s="1"/>
  <c r="G18" i="5"/>
  <c r="K17" i="5"/>
  <c r="N17" i="5" s="1"/>
  <c r="G18" i="9" l="1"/>
  <c r="L17" i="9"/>
  <c r="O17" i="9" s="1"/>
  <c r="K17" i="9"/>
  <c r="N17" i="9" s="1"/>
  <c r="K19" i="8"/>
  <c r="N19" i="8" s="1"/>
  <c r="G20" i="8"/>
  <c r="L19" i="8"/>
  <c r="O19" i="8" s="1"/>
  <c r="K17" i="10"/>
  <c r="N17" i="10" s="1"/>
  <c r="L17" i="10"/>
  <c r="O17" i="10" s="1"/>
  <c r="G18" i="10"/>
  <c r="K17" i="6"/>
  <c r="N17" i="6" s="1"/>
  <c r="G18" i="6"/>
  <c r="L17" i="6"/>
  <c r="O17" i="6" s="1"/>
  <c r="K17" i="7"/>
  <c r="N17" i="7" s="1"/>
  <c r="G18" i="7"/>
  <c r="L17" i="7"/>
  <c r="O17" i="7" s="1"/>
  <c r="L18" i="5"/>
  <c r="O18" i="5" s="1"/>
  <c r="G19" i="5"/>
  <c r="K18" i="5"/>
  <c r="N18" i="5" s="1"/>
  <c r="L18" i="12"/>
  <c r="O18" i="12" s="1"/>
  <c r="K18" i="12"/>
  <c r="N18" i="12" s="1"/>
  <c r="G19" i="12"/>
  <c r="K17" i="3"/>
  <c r="N17" i="3" s="1"/>
  <c r="L17" i="3"/>
  <c r="O17" i="3" s="1"/>
  <c r="G18" i="3"/>
  <c r="L17" i="13"/>
  <c r="O17" i="13" s="1"/>
  <c r="K17" i="13"/>
  <c r="N17" i="13" s="1"/>
  <c r="G18" i="13"/>
  <c r="G20" i="2"/>
  <c r="K19" i="2"/>
  <c r="N19" i="2" s="1"/>
  <c r="L19" i="2"/>
  <c r="O19" i="2" s="1"/>
  <c r="K17" i="11"/>
  <c r="N17" i="11" s="1"/>
  <c r="G18" i="11"/>
  <c r="L17" i="11"/>
  <c r="O17" i="11" s="1"/>
  <c r="K17" i="4"/>
  <c r="N17" i="4" s="1"/>
  <c r="G18" i="4"/>
  <c r="L17" i="4"/>
  <c r="O17" i="4" s="1"/>
  <c r="K18" i="9" l="1"/>
  <c r="N18" i="9" s="1"/>
  <c r="L18" i="9"/>
  <c r="O18" i="9" s="1"/>
  <c r="G19" i="9"/>
  <c r="K18" i="11"/>
  <c r="N18" i="11" s="1"/>
  <c r="G19" i="11"/>
  <c r="L18" i="11"/>
  <c r="O18" i="11" s="1"/>
  <c r="L20" i="2"/>
  <c r="O20" i="2" s="1"/>
  <c r="K20" i="2"/>
  <c r="N20" i="2" s="1"/>
  <c r="G21" i="2"/>
  <c r="L18" i="3"/>
  <c r="O18" i="3" s="1"/>
  <c r="G19" i="3"/>
  <c r="K18" i="3"/>
  <c r="N18" i="3" s="1"/>
  <c r="L18" i="6"/>
  <c r="O18" i="6" s="1"/>
  <c r="G19" i="6"/>
  <c r="K18" i="6"/>
  <c r="N18" i="6" s="1"/>
  <c r="K18" i="4"/>
  <c r="N18" i="4" s="1"/>
  <c r="G19" i="4"/>
  <c r="L18" i="4"/>
  <c r="O18" i="4" s="1"/>
  <c r="K18" i="13"/>
  <c r="N18" i="13" s="1"/>
  <c r="G19" i="13"/>
  <c r="L18" i="13"/>
  <c r="O18" i="13" s="1"/>
  <c r="K18" i="7"/>
  <c r="N18" i="7" s="1"/>
  <c r="G19" i="7"/>
  <c r="L18" i="7"/>
  <c r="O18" i="7" s="1"/>
  <c r="L18" i="10"/>
  <c r="O18" i="10" s="1"/>
  <c r="G19" i="10"/>
  <c r="K18" i="10"/>
  <c r="N18" i="10" s="1"/>
  <c r="L20" i="8"/>
  <c r="O20" i="8" s="1"/>
  <c r="K20" i="8"/>
  <c r="N20" i="8" s="1"/>
  <c r="G21" i="8"/>
  <c r="K19" i="12"/>
  <c r="N19" i="12" s="1"/>
  <c r="G20" i="12"/>
  <c r="L19" i="12"/>
  <c r="O19" i="12" s="1"/>
  <c r="K19" i="5"/>
  <c r="N19" i="5" s="1"/>
  <c r="G20" i="5"/>
  <c r="L19" i="5"/>
  <c r="O19" i="5" s="1"/>
  <c r="L19" i="9" l="1"/>
  <c r="O19" i="9" s="1"/>
  <c r="K19" i="9"/>
  <c r="N19" i="9" s="1"/>
  <c r="G20" i="9"/>
  <c r="K20" i="12"/>
  <c r="N20" i="12" s="1"/>
  <c r="G21" i="12"/>
  <c r="L20" i="12"/>
  <c r="O20" i="12" s="1"/>
  <c r="K19" i="13"/>
  <c r="N19" i="13" s="1"/>
  <c r="G20" i="13"/>
  <c r="L19" i="13"/>
  <c r="O19" i="13" s="1"/>
  <c r="K19" i="3"/>
  <c r="N19" i="3" s="1"/>
  <c r="G20" i="3"/>
  <c r="L19" i="3"/>
  <c r="O19" i="3" s="1"/>
  <c r="L21" i="8"/>
  <c r="O21" i="8" s="1"/>
  <c r="G22" i="8"/>
  <c r="K21" i="8"/>
  <c r="N21" i="8" s="1"/>
  <c r="K19" i="10"/>
  <c r="N19" i="10" s="1"/>
  <c r="G20" i="10"/>
  <c r="L19" i="10"/>
  <c r="O19" i="10" s="1"/>
  <c r="K19" i="6"/>
  <c r="N19" i="6" s="1"/>
  <c r="G20" i="6"/>
  <c r="L19" i="6"/>
  <c r="O19" i="6" s="1"/>
  <c r="K21" i="2"/>
  <c r="N21" i="2" s="1"/>
  <c r="G22" i="2"/>
  <c r="L21" i="2"/>
  <c r="O21" i="2" s="1"/>
  <c r="K19" i="11"/>
  <c r="N19" i="11" s="1"/>
  <c r="L19" i="11"/>
  <c r="O19" i="11" s="1"/>
  <c r="G20" i="11"/>
  <c r="K20" i="5"/>
  <c r="N20" i="5" s="1"/>
  <c r="G21" i="5"/>
  <c r="L20" i="5"/>
  <c r="O20" i="5" s="1"/>
  <c r="K19" i="7"/>
  <c r="N19" i="7" s="1"/>
  <c r="L19" i="7"/>
  <c r="O19" i="7" s="1"/>
  <c r="G20" i="7"/>
  <c r="K19" i="4"/>
  <c r="N19" i="4" s="1"/>
  <c r="L19" i="4"/>
  <c r="O19" i="4" s="1"/>
  <c r="G20" i="4"/>
  <c r="K20" i="9" l="1"/>
  <c r="N20" i="9" s="1"/>
  <c r="G21" i="9"/>
  <c r="L20" i="9"/>
  <c r="O20" i="9" s="1"/>
  <c r="L20" i="4"/>
  <c r="O20" i="4" s="1"/>
  <c r="K20" i="4"/>
  <c r="N20" i="4" s="1"/>
  <c r="G21" i="4"/>
  <c r="K20" i="6"/>
  <c r="N20" i="6" s="1"/>
  <c r="G21" i="6"/>
  <c r="L20" i="6"/>
  <c r="O20" i="6" s="1"/>
  <c r="K20" i="3"/>
  <c r="N20" i="3" s="1"/>
  <c r="G21" i="3"/>
  <c r="L20" i="3"/>
  <c r="O20" i="3" s="1"/>
  <c r="L20" i="11"/>
  <c r="O20" i="11" s="1"/>
  <c r="K20" i="11"/>
  <c r="N20" i="11" s="1"/>
  <c r="G21" i="11"/>
  <c r="K22" i="2"/>
  <c r="N22" i="2" s="1"/>
  <c r="G23" i="2"/>
  <c r="L22" i="2"/>
  <c r="O22" i="2" s="1"/>
  <c r="K22" i="8"/>
  <c r="N22" i="8" s="1"/>
  <c r="G23" i="8"/>
  <c r="L22" i="8"/>
  <c r="O22" i="8" s="1"/>
  <c r="K21" i="12"/>
  <c r="N21" i="12" s="1"/>
  <c r="L21" i="12"/>
  <c r="O21" i="12" s="1"/>
  <c r="G22" i="12"/>
  <c r="L20" i="7"/>
  <c r="O20" i="7" s="1"/>
  <c r="K20" i="7"/>
  <c r="N20" i="7" s="1"/>
  <c r="G21" i="7"/>
  <c r="K21" i="5"/>
  <c r="N21" i="5" s="1"/>
  <c r="L21" i="5"/>
  <c r="O21" i="5" s="1"/>
  <c r="G22" i="5"/>
  <c r="K20" i="10"/>
  <c r="N20" i="10" s="1"/>
  <c r="G21" i="10"/>
  <c r="L20" i="10"/>
  <c r="O20" i="10" s="1"/>
  <c r="K20" i="13"/>
  <c r="N20" i="13" s="1"/>
  <c r="L20" i="13"/>
  <c r="O20" i="13" s="1"/>
  <c r="G21" i="13"/>
  <c r="K21" i="9" l="1"/>
  <c r="N21" i="9" s="1"/>
  <c r="G22" i="9"/>
  <c r="L21" i="9"/>
  <c r="O21" i="9" s="1"/>
  <c r="K23" i="2"/>
  <c r="N23" i="2" s="1"/>
  <c r="L23" i="2"/>
  <c r="O23" i="2" s="1"/>
  <c r="G24" i="2"/>
  <c r="L21" i="13"/>
  <c r="O21" i="13" s="1"/>
  <c r="G22" i="13"/>
  <c r="K21" i="13"/>
  <c r="N21" i="13" s="1"/>
  <c r="G22" i="10"/>
  <c r="K21" i="10"/>
  <c r="N21" i="10" s="1"/>
  <c r="L21" i="10"/>
  <c r="O21" i="10" s="1"/>
  <c r="L22" i="12"/>
  <c r="O22" i="12" s="1"/>
  <c r="G23" i="12"/>
  <c r="K22" i="12"/>
  <c r="N22" i="12" s="1"/>
  <c r="K23" i="8"/>
  <c r="N23" i="8" s="1"/>
  <c r="G24" i="8"/>
  <c r="L23" i="8"/>
  <c r="O23" i="8" s="1"/>
  <c r="K21" i="11"/>
  <c r="N21" i="11" s="1"/>
  <c r="G22" i="11"/>
  <c r="L21" i="11"/>
  <c r="O21" i="11" s="1"/>
  <c r="G22" i="3"/>
  <c r="K21" i="3"/>
  <c r="N21" i="3" s="1"/>
  <c r="L21" i="3"/>
  <c r="O21" i="3" s="1"/>
  <c r="K21" i="7"/>
  <c r="N21" i="7" s="1"/>
  <c r="G22" i="7"/>
  <c r="L21" i="7"/>
  <c r="O21" i="7" s="1"/>
  <c r="K21" i="4"/>
  <c r="N21" i="4" s="1"/>
  <c r="G22" i="4"/>
  <c r="L21" i="4"/>
  <c r="O21" i="4" s="1"/>
  <c r="L22" i="5"/>
  <c r="O22" i="5" s="1"/>
  <c r="K22" i="5"/>
  <c r="N22" i="5" s="1"/>
  <c r="G23" i="5"/>
  <c r="G22" i="6"/>
  <c r="K21" i="6"/>
  <c r="N21" i="6" s="1"/>
  <c r="L21" i="6"/>
  <c r="O21" i="6" s="1"/>
  <c r="L22" i="9" l="1"/>
  <c r="O22" i="9" s="1"/>
  <c r="K22" i="9"/>
  <c r="N22" i="9" s="1"/>
  <c r="G23" i="9"/>
  <c r="K23" i="12"/>
  <c r="N23" i="12" s="1"/>
  <c r="G24" i="12"/>
  <c r="L23" i="12"/>
  <c r="O23" i="12" s="1"/>
  <c r="L22" i="10"/>
  <c r="O22" i="10" s="1"/>
  <c r="K22" i="10"/>
  <c r="N22" i="10" s="1"/>
  <c r="G23" i="10"/>
  <c r="L24" i="2"/>
  <c r="O24" i="2" s="1"/>
  <c r="G25" i="2"/>
  <c r="K24" i="2"/>
  <c r="N24" i="2" s="1"/>
  <c r="L22" i="6"/>
  <c r="O22" i="6" s="1"/>
  <c r="K22" i="6"/>
  <c r="N22" i="6" s="1"/>
  <c r="G23" i="6"/>
  <c r="K23" i="5"/>
  <c r="N23" i="5" s="1"/>
  <c r="G24" i="5"/>
  <c r="L23" i="5"/>
  <c r="O23" i="5" s="1"/>
  <c r="K22" i="4"/>
  <c r="N22" i="4" s="1"/>
  <c r="G23" i="4"/>
  <c r="L22" i="4"/>
  <c r="O22" i="4" s="1"/>
  <c r="K24" i="8"/>
  <c r="N24" i="8" s="1"/>
  <c r="L24" i="8"/>
  <c r="O24" i="8" s="1"/>
  <c r="G25" i="8"/>
  <c r="K22" i="7"/>
  <c r="N22" i="7" s="1"/>
  <c r="G23" i="7"/>
  <c r="L22" i="7"/>
  <c r="O22" i="7" s="1"/>
  <c r="L22" i="3"/>
  <c r="O22" i="3" s="1"/>
  <c r="K22" i="3"/>
  <c r="N22" i="3" s="1"/>
  <c r="G23" i="3"/>
  <c r="K22" i="11"/>
  <c r="N22" i="11" s="1"/>
  <c r="G23" i="11"/>
  <c r="L22" i="11"/>
  <c r="O22" i="11" s="1"/>
  <c r="K22" i="13"/>
  <c r="N22" i="13" s="1"/>
  <c r="G23" i="13"/>
  <c r="L22" i="13"/>
  <c r="O22" i="13" s="1"/>
  <c r="L23" i="9" l="1"/>
  <c r="O23" i="9" s="1"/>
  <c r="G24" i="9"/>
  <c r="K23" i="9"/>
  <c r="N23" i="9" s="1"/>
  <c r="L23" i="11"/>
  <c r="O23" i="11" s="1"/>
  <c r="G24" i="11"/>
  <c r="K23" i="11"/>
  <c r="N23" i="11" s="1"/>
  <c r="K23" i="6"/>
  <c r="N23" i="6" s="1"/>
  <c r="G24" i="6"/>
  <c r="L23" i="6"/>
  <c r="O23" i="6" s="1"/>
  <c r="K25" i="2"/>
  <c r="N25" i="2" s="1"/>
  <c r="G26" i="2"/>
  <c r="L25" i="2"/>
  <c r="O25" i="2" s="1"/>
  <c r="K23" i="3"/>
  <c r="N23" i="3" s="1"/>
  <c r="G24" i="3"/>
  <c r="L23" i="3"/>
  <c r="O23" i="3" s="1"/>
  <c r="L23" i="7"/>
  <c r="O23" i="7" s="1"/>
  <c r="G24" i="7"/>
  <c r="K23" i="7"/>
  <c r="N23" i="7" s="1"/>
  <c r="K24" i="5"/>
  <c r="N24" i="5" s="1"/>
  <c r="G25" i="5"/>
  <c r="L24" i="5"/>
  <c r="O24" i="5" s="1"/>
  <c r="K23" i="10"/>
  <c r="N23" i="10" s="1"/>
  <c r="G24" i="10"/>
  <c r="L23" i="10"/>
  <c r="O23" i="10" s="1"/>
  <c r="K24" i="12"/>
  <c r="N24" i="12" s="1"/>
  <c r="G25" i="12"/>
  <c r="L24" i="12"/>
  <c r="O24" i="12" s="1"/>
  <c r="K23" i="13"/>
  <c r="N23" i="13" s="1"/>
  <c r="G24" i="13"/>
  <c r="L23" i="13"/>
  <c r="O23" i="13" s="1"/>
  <c r="L25" i="8"/>
  <c r="O25" i="8" s="1"/>
  <c r="K25" i="8"/>
  <c r="N25" i="8" s="1"/>
  <c r="G26" i="8"/>
  <c r="L23" i="4"/>
  <c r="O23" i="4" s="1"/>
  <c r="G24" i="4"/>
  <c r="K23" i="4"/>
  <c r="N23" i="4" s="1"/>
  <c r="K24" i="9" l="1"/>
  <c r="N24" i="9" s="1"/>
  <c r="G25" i="9"/>
  <c r="L24" i="9"/>
  <c r="O24" i="9" s="1"/>
  <c r="G25" i="13"/>
  <c r="K24" i="13"/>
  <c r="N24" i="13" s="1"/>
  <c r="L24" i="13"/>
  <c r="O24" i="13" s="1"/>
  <c r="L24" i="7"/>
  <c r="O24" i="7" s="1"/>
  <c r="G25" i="7"/>
  <c r="K24" i="7"/>
  <c r="N24" i="7" s="1"/>
  <c r="L24" i="11"/>
  <c r="O24" i="11" s="1"/>
  <c r="G25" i="11"/>
  <c r="K24" i="11"/>
  <c r="N24" i="11" s="1"/>
  <c r="K24" i="10"/>
  <c r="N24" i="10" s="1"/>
  <c r="G25" i="10"/>
  <c r="L24" i="10"/>
  <c r="O24" i="10" s="1"/>
  <c r="K26" i="2"/>
  <c r="N26" i="2" s="1"/>
  <c r="G27" i="2"/>
  <c r="L26" i="2"/>
  <c r="O26" i="2" s="1"/>
  <c r="L24" i="4"/>
  <c r="O24" i="4" s="1"/>
  <c r="G25" i="4"/>
  <c r="K24" i="4"/>
  <c r="N24" i="4" s="1"/>
  <c r="G26" i="12"/>
  <c r="K25" i="12"/>
  <c r="N25" i="12" s="1"/>
  <c r="L25" i="12"/>
  <c r="O25" i="12" s="1"/>
  <c r="K24" i="3"/>
  <c r="N24" i="3" s="1"/>
  <c r="G25" i="3"/>
  <c r="L24" i="3"/>
  <c r="O24" i="3" s="1"/>
  <c r="K26" i="8"/>
  <c r="N26" i="8" s="1"/>
  <c r="G27" i="8"/>
  <c r="L26" i="8"/>
  <c r="O26" i="8" s="1"/>
  <c r="K25" i="5"/>
  <c r="N25" i="5" s="1"/>
  <c r="G26" i="5"/>
  <c r="L25" i="5"/>
  <c r="O25" i="5" s="1"/>
  <c r="K24" i="6"/>
  <c r="N24" i="6" s="1"/>
  <c r="G25" i="6"/>
  <c r="L24" i="6"/>
  <c r="O24" i="6" s="1"/>
  <c r="L25" i="9" l="1"/>
  <c r="O25" i="9" s="1"/>
  <c r="G26" i="9"/>
  <c r="K25" i="9"/>
  <c r="N25" i="9" s="1"/>
  <c r="K25" i="11"/>
  <c r="N25" i="11" s="1"/>
  <c r="G26" i="11"/>
  <c r="L25" i="11"/>
  <c r="O25" i="11" s="1"/>
  <c r="K25" i="3"/>
  <c r="N25" i="3" s="1"/>
  <c r="L25" i="3"/>
  <c r="O25" i="3" s="1"/>
  <c r="G26" i="3"/>
  <c r="L26" i="12"/>
  <c r="O26" i="12" s="1"/>
  <c r="K26" i="12"/>
  <c r="N26" i="12" s="1"/>
  <c r="G27" i="12"/>
  <c r="K27" i="8"/>
  <c r="N27" i="8" s="1"/>
  <c r="G28" i="8"/>
  <c r="L27" i="8"/>
  <c r="O27" i="8" s="1"/>
  <c r="G28" i="2"/>
  <c r="K27" i="2"/>
  <c r="N27" i="2" s="1"/>
  <c r="L27" i="2"/>
  <c r="O27" i="2" s="1"/>
  <c r="K26" i="5"/>
  <c r="N26" i="5" s="1"/>
  <c r="G27" i="5"/>
  <c r="L26" i="5"/>
  <c r="O26" i="5" s="1"/>
  <c r="K25" i="6"/>
  <c r="N25" i="6" s="1"/>
  <c r="L25" i="6"/>
  <c r="O25" i="6" s="1"/>
  <c r="G26" i="6"/>
  <c r="K25" i="10"/>
  <c r="N25" i="10" s="1"/>
  <c r="L25" i="10"/>
  <c r="O25" i="10" s="1"/>
  <c r="G26" i="10"/>
  <c r="K25" i="4"/>
  <c r="N25" i="4" s="1"/>
  <c r="G26" i="4"/>
  <c r="L25" i="4"/>
  <c r="O25" i="4" s="1"/>
  <c r="K25" i="7"/>
  <c r="N25" i="7" s="1"/>
  <c r="G26" i="7"/>
  <c r="L25" i="7"/>
  <c r="O25" i="7" s="1"/>
  <c r="L25" i="13"/>
  <c r="O25" i="13" s="1"/>
  <c r="G26" i="13"/>
  <c r="K25" i="13"/>
  <c r="N25" i="13" s="1"/>
  <c r="L26" i="9" l="1"/>
  <c r="O26" i="9" s="1"/>
  <c r="G27" i="9"/>
  <c r="K26" i="9"/>
  <c r="N26" i="9" s="1"/>
  <c r="L26" i="6"/>
  <c r="O26" i="6" s="1"/>
  <c r="G27" i="6"/>
  <c r="K26" i="6"/>
  <c r="N26" i="6" s="1"/>
  <c r="L26" i="10"/>
  <c r="O26" i="10" s="1"/>
  <c r="G27" i="10"/>
  <c r="K26" i="10"/>
  <c r="N26" i="10" s="1"/>
  <c r="L26" i="3"/>
  <c r="O26" i="3" s="1"/>
  <c r="G27" i="3"/>
  <c r="K26" i="3"/>
  <c r="N26" i="3" s="1"/>
  <c r="K26" i="11"/>
  <c r="N26" i="11" s="1"/>
  <c r="G27" i="11"/>
  <c r="L26" i="11"/>
  <c r="O26" i="11" s="1"/>
  <c r="K26" i="7"/>
  <c r="N26" i="7" s="1"/>
  <c r="G27" i="7"/>
  <c r="L26" i="7"/>
  <c r="O26" i="7" s="1"/>
  <c r="K26" i="13"/>
  <c r="N26" i="13" s="1"/>
  <c r="G27" i="13"/>
  <c r="L26" i="13"/>
  <c r="O26" i="13" s="1"/>
  <c r="L28" i="8"/>
  <c r="O28" i="8" s="1"/>
  <c r="G29" i="8"/>
  <c r="K28" i="8"/>
  <c r="N28" i="8" s="1"/>
  <c r="K26" i="4"/>
  <c r="N26" i="4" s="1"/>
  <c r="G27" i="4"/>
  <c r="L26" i="4"/>
  <c r="O26" i="4" s="1"/>
  <c r="G28" i="5"/>
  <c r="K27" i="5"/>
  <c r="N27" i="5" s="1"/>
  <c r="L27" i="5"/>
  <c r="O27" i="5" s="1"/>
  <c r="L28" i="2"/>
  <c r="O28" i="2" s="1"/>
  <c r="K28" i="2"/>
  <c r="N28" i="2" s="1"/>
  <c r="G29" i="2"/>
  <c r="K27" i="12"/>
  <c r="N27" i="12" s="1"/>
  <c r="G28" i="12"/>
  <c r="L27" i="12"/>
  <c r="O27" i="12" s="1"/>
  <c r="L27" i="9" l="1"/>
  <c r="O27" i="9" s="1"/>
  <c r="K27" i="9"/>
  <c r="N27" i="9" s="1"/>
  <c r="G28" i="9"/>
  <c r="L28" i="5"/>
  <c r="O28" i="5" s="1"/>
  <c r="K28" i="5"/>
  <c r="N28" i="5" s="1"/>
  <c r="G29" i="5"/>
  <c r="L29" i="8"/>
  <c r="O29" i="8" s="1"/>
  <c r="G30" i="8"/>
  <c r="K29" i="8"/>
  <c r="N29" i="8" s="1"/>
  <c r="K27" i="3"/>
  <c r="N27" i="3" s="1"/>
  <c r="G28" i="3"/>
  <c r="L27" i="3"/>
  <c r="O27" i="3" s="1"/>
  <c r="K27" i="4"/>
  <c r="N27" i="4" s="1"/>
  <c r="L27" i="4"/>
  <c r="O27" i="4" s="1"/>
  <c r="G28" i="4"/>
  <c r="K27" i="11"/>
  <c r="N27" i="11" s="1"/>
  <c r="L27" i="11"/>
  <c r="O27" i="11" s="1"/>
  <c r="G28" i="11"/>
  <c r="K27" i="7"/>
  <c r="N27" i="7" s="1"/>
  <c r="G28" i="7"/>
  <c r="L27" i="7"/>
  <c r="O27" i="7" s="1"/>
  <c r="K27" i="6"/>
  <c r="N27" i="6" s="1"/>
  <c r="G28" i="6"/>
  <c r="L27" i="6"/>
  <c r="O27" i="6" s="1"/>
  <c r="K28" i="12"/>
  <c r="N28" i="12" s="1"/>
  <c r="G29" i="12"/>
  <c r="L28" i="12"/>
  <c r="O28" i="12" s="1"/>
  <c r="K29" i="2"/>
  <c r="N29" i="2" s="1"/>
  <c r="G30" i="2"/>
  <c r="L29" i="2"/>
  <c r="O29" i="2" s="1"/>
  <c r="K27" i="13"/>
  <c r="N27" i="13" s="1"/>
  <c r="G28" i="13"/>
  <c r="L27" i="13"/>
  <c r="O27" i="13" s="1"/>
  <c r="K27" i="10"/>
  <c r="N27" i="10" s="1"/>
  <c r="G28" i="10"/>
  <c r="L27" i="10"/>
  <c r="O27" i="10" s="1"/>
  <c r="G29" i="9" l="1"/>
  <c r="L28" i="9"/>
  <c r="O28" i="9" s="1"/>
  <c r="K28" i="9"/>
  <c r="N28" i="9" s="1"/>
  <c r="K28" i="13"/>
  <c r="N28" i="13" s="1"/>
  <c r="L28" i="13"/>
  <c r="O28" i="13" s="1"/>
  <c r="G29" i="13"/>
  <c r="L28" i="7"/>
  <c r="O28" i="7" s="1"/>
  <c r="K28" i="7"/>
  <c r="N28" i="7" s="1"/>
  <c r="G29" i="7"/>
  <c r="L28" i="4"/>
  <c r="O28" i="4" s="1"/>
  <c r="K28" i="4"/>
  <c r="N28" i="4" s="1"/>
  <c r="G29" i="4"/>
  <c r="K28" i="3"/>
  <c r="N28" i="3" s="1"/>
  <c r="G29" i="3"/>
  <c r="L28" i="3"/>
  <c r="O28" i="3" s="1"/>
  <c r="K28" i="10"/>
  <c r="N28" i="10" s="1"/>
  <c r="G29" i="10"/>
  <c r="L28" i="10"/>
  <c r="O28" i="10" s="1"/>
  <c r="K28" i="6"/>
  <c r="N28" i="6" s="1"/>
  <c r="G29" i="6"/>
  <c r="L28" i="6"/>
  <c r="O28" i="6" s="1"/>
  <c r="L28" i="11"/>
  <c r="O28" i="11" s="1"/>
  <c r="K28" i="11"/>
  <c r="N28" i="11" s="1"/>
  <c r="G29" i="11"/>
  <c r="K29" i="5"/>
  <c r="N29" i="5" s="1"/>
  <c r="G30" i="5"/>
  <c r="L29" i="5"/>
  <c r="O29" i="5" s="1"/>
  <c r="K29" i="12"/>
  <c r="N29" i="12" s="1"/>
  <c r="L29" i="12"/>
  <c r="O29" i="12" s="1"/>
  <c r="G30" i="12"/>
  <c r="K30" i="2"/>
  <c r="N30" i="2" s="1"/>
  <c r="G31" i="2"/>
  <c r="L30" i="2"/>
  <c r="O30" i="2" s="1"/>
  <c r="K30" i="8"/>
  <c r="N30" i="8" s="1"/>
  <c r="G31" i="8"/>
  <c r="L30" i="8"/>
  <c r="O30" i="8" s="1"/>
  <c r="L29" i="9" l="1"/>
  <c r="O29" i="9" s="1"/>
  <c r="K29" i="9"/>
  <c r="N29" i="9" s="1"/>
  <c r="G30" i="9"/>
  <c r="K31" i="8"/>
  <c r="N31" i="8" s="1"/>
  <c r="L31" i="8"/>
  <c r="O31" i="8" s="1"/>
  <c r="L29" i="13"/>
  <c r="O29" i="13" s="1"/>
  <c r="K29" i="13"/>
  <c r="N29" i="13" s="1"/>
  <c r="G30" i="13"/>
  <c r="G30" i="10"/>
  <c r="K29" i="10"/>
  <c r="N29" i="10" s="1"/>
  <c r="L29" i="10"/>
  <c r="O29" i="10" s="1"/>
  <c r="K29" i="7"/>
  <c r="N29" i="7" s="1"/>
  <c r="G30" i="7"/>
  <c r="L29" i="7"/>
  <c r="O29" i="7" s="1"/>
  <c r="L30" i="12"/>
  <c r="O30" i="12" s="1"/>
  <c r="G31" i="12"/>
  <c r="K30" i="12"/>
  <c r="N30" i="12" s="1"/>
  <c r="K30" i="5"/>
  <c r="N30" i="5" s="1"/>
  <c r="G31" i="5"/>
  <c r="L30" i="5"/>
  <c r="O30" i="5" s="1"/>
  <c r="G30" i="3"/>
  <c r="K29" i="3"/>
  <c r="N29" i="3" s="1"/>
  <c r="L29" i="3"/>
  <c r="O29" i="3" s="1"/>
  <c r="K31" i="2"/>
  <c r="N31" i="2" s="1"/>
  <c r="L31" i="2"/>
  <c r="O31" i="2" s="1"/>
  <c r="K29" i="11"/>
  <c r="N29" i="11" s="1"/>
  <c r="G30" i="11"/>
  <c r="L29" i="11"/>
  <c r="O29" i="11" s="1"/>
  <c r="G30" i="6"/>
  <c r="L29" i="6"/>
  <c r="O29" i="6" s="1"/>
  <c r="K29" i="6"/>
  <c r="N29" i="6" s="1"/>
  <c r="K29" i="4"/>
  <c r="N29" i="4" s="1"/>
  <c r="G30" i="4"/>
  <c r="L29" i="4"/>
  <c r="O29" i="4" s="1"/>
  <c r="K30" i="9" l="1"/>
  <c r="N30" i="9" s="1"/>
  <c r="G31" i="9"/>
  <c r="L30" i="9"/>
  <c r="O30" i="9" s="1"/>
  <c r="K30" i="4"/>
  <c r="N30" i="4" s="1"/>
  <c r="G31" i="4"/>
  <c r="L30" i="4"/>
  <c r="O30" i="4" s="1"/>
  <c r="L30" i="6"/>
  <c r="O30" i="6" s="1"/>
  <c r="K30" i="6"/>
  <c r="N30" i="6" s="1"/>
  <c r="G31" i="6"/>
  <c r="K31" i="5"/>
  <c r="N31" i="5" s="1"/>
  <c r="L31" i="5"/>
  <c r="O31" i="5" s="1"/>
  <c r="K30" i="11"/>
  <c r="N30" i="11" s="1"/>
  <c r="G31" i="11"/>
  <c r="L30" i="11"/>
  <c r="O30" i="11" s="1"/>
  <c r="L30" i="3"/>
  <c r="O30" i="3" s="1"/>
  <c r="K30" i="3"/>
  <c r="N30" i="3" s="1"/>
  <c r="G31" i="3"/>
  <c r="K30" i="7"/>
  <c r="N30" i="7" s="1"/>
  <c r="G31" i="7"/>
  <c r="L30" i="7"/>
  <c r="O30" i="7" s="1"/>
  <c r="L30" i="10"/>
  <c r="O30" i="10" s="1"/>
  <c r="K30" i="10"/>
  <c r="N30" i="10" s="1"/>
  <c r="G31" i="10"/>
  <c r="K31" i="12"/>
  <c r="N31" i="12" s="1"/>
  <c r="L31" i="12"/>
  <c r="O31" i="12" s="1"/>
  <c r="K30" i="13"/>
  <c r="N30" i="13" s="1"/>
  <c r="G31" i="13"/>
  <c r="L30" i="13"/>
  <c r="O30" i="13" s="1"/>
  <c r="K31" i="9" l="1"/>
  <c r="N31" i="9" s="1"/>
  <c r="L31" i="9"/>
  <c r="O31" i="9" s="1"/>
  <c r="K31" i="13"/>
  <c r="N31" i="13" s="1"/>
  <c r="L31" i="13"/>
  <c r="O31" i="13" s="1"/>
  <c r="K31" i="10"/>
  <c r="N31" i="10" s="1"/>
  <c r="L31" i="10"/>
  <c r="O31" i="10" s="1"/>
  <c r="L31" i="7"/>
  <c r="O31" i="7" s="1"/>
  <c r="K31" i="7"/>
  <c r="N31" i="7" s="1"/>
  <c r="K31" i="3"/>
  <c r="N31" i="3" s="1"/>
  <c r="L31" i="3"/>
  <c r="O31" i="3" s="1"/>
  <c r="L31" i="11"/>
  <c r="O31" i="11" s="1"/>
  <c r="K31" i="11"/>
  <c r="N31" i="11" s="1"/>
  <c r="K31" i="6"/>
  <c r="N31" i="6" s="1"/>
  <c r="L31" i="6"/>
  <c r="O31" i="6" s="1"/>
  <c r="L31" i="4"/>
  <c r="O31" i="4" s="1"/>
  <c r="K31" i="4"/>
  <c r="N31" i="4" s="1"/>
</calcChain>
</file>

<file path=xl/comments1.xml><?xml version="1.0" encoding="utf-8"?>
<comments xmlns="http://schemas.openxmlformats.org/spreadsheetml/2006/main">
  <authors>
    <author>Author</author>
  </authors>
  <commentList>
    <comment ref="A1" authorId="0">
      <text>
        <r>
          <rPr>
            <b/>
            <sz val="12"/>
            <color indexed="81"/>
            <rFont val="Tahoma"/>
            <family val="2"/>
          </rPr>
          <t>This page uses LiftingLineTheory in order to calculate twist for desired Bell Shaped Lift Distribution (BSLD). 
The main limitation of LLT is that it gives correct values only for zero sweep of 1/4 chord line. Hence, the results from this sheet are only applicable for very low sweep designs. This is especially problem for parbole planform which has high sweep at tips.
It is highly recommended to use some other software to calculate more accurate twist values. This excel file should give you very good starting point. 
Also, be sure to check the position of Neutral Point and compare it with the one calculated here. 
 Good examples of such software are Nurtflugel and FLZ_Vortex which both use Vortice Lattice Methods applicable to swept wings. Another option is XFLR5. All of those software are free.</t>
        </r>
        <r>
          <rPr>
            <b/>
            <sz val="8"/>
            <color indexed="81"/>
            <rFont val="Tahoma"/>
            <family val="2"/>
          </rPr>
          <t xml:space="preserve">
</t>
        </r>
      </text>
    </comment>
    <comment ref="A7" authorId="0">
      <text>
        <r>
          <rPr>
            <b/>
            <sz val="9"/>
            <color indexed="81"/>
            <rFont val="Tahoma"/>
            <family val="2"/>
          </rPr>
          <t xml:space="preserve">Parabole shape is defined by equation y=ax^2+bx+c.
Enter values for "a" and "b" for LE and value "a" for TE. Value "b" for Te is calculated so that TE curve fits tip chord. 
Value "c" for LE equation is equal to Root chord. </t>
        </r>
      </text>
    </comment>
    <comment ref="A20" authorId="0">
      <text>
        <r>
          <rPr>
            <b/>
            <sz val="9"/>
            <color indexed="81"/>
            <rFont val="Tahoma"/>
            <charset val="1"/>
          </rPr>
          <t>0.105 is good value. Theoretical value is 2*pi [rad]</t>
        </r>
      </text>
    </comment>
    <comment ref="A21" authorId="0">
      <text>
        <r>
          <rPr>
            <b/>
            <sz val="9"/>
            <color indexed="81"/>
            <rFont val="Tahoma"/>
            <charset val="1"/>
          </rPr>
          <t>Angle of attack at which airofil doesn't produce lift</t>
        </r>
      </text>
    </comment>
    <comment ref="A24" authorId="0">
      <text>
        <r>
          <rPr>
            <b/>
            <sz val="9"/>
            <color indexed="81"/>
            <rFont val="Tahoma"/>
            <charset val="1"/>
          </rPr>
          <t>1 for BSLD (proportional to sin^3(teta)
0 for eliptical distribution
Values between are possbile</t>
        </r>
      </text>
    </comment>
    <comment ref="A25" authorId="0">
      <text>
        <r>
          <rPr>
            <b/>
            <sz val="9"/>
            <color indexed="81"/>
            <rFont val="Tahoma"/>
            <family val="2"/>
          </rPr>
          <t>This is Cl at which lift distrbution will be shaped as designed…
Don't use value bellow 0.45</t>
        </r>
      </text>
    </comment>
    <comment ref="A27" authorId="0">
      <text>
        <r>
          <rPr>
            <b/>
            <sz val="9"/>
            <color indexed="81"/>
            <rFont val="Tahoma"/>
            <family val="2"/>
          </rPr>
          <t>Aerodynamic and geometric twist summed up.</t>
        </r>
      </text>
    </comment>
    <comment ref="A31" authorId="0">
      <text>
        <r>
          <rPr>
            <b/>
            <sz val="9"/>
            <color indexed="81"/>
            <rFont val="Tahoma"/>
            <family val="2"/>
          </rPr>
          <t xml:space="preserve">Position of neutral point measured from mac leading edge in % of mac chord
</t>
        </r>
      </text>
    </comment>
    <comment ref="A33" authorId="0">
      <text>
        <r>
          <rPr>
            <b/>
            <sz val="9"/>
            <color indexed="81"/>
            <rFont val="Tahoma"/>
            <family val="2"/>
          </rPr>
          <t xml:space="preserve">Position of mac 1/4 chord. </t>
        </r>
      </text>
    </comment>
    <comment ref="A35" authorId="0">
      <text>
        <r>
          <rPr>
            <b/>
            <sz val="9"/>
            <color indexed="81"/>
            <rFont val="Tahoma"/>
            <family val="2"/>
          </rPr>
          <t>CG position measured from leaing edge of mac in % of mac chord</t>
        </r>
      </text>
    </comment>
  </commentList>
</comments>
</file>

<file path=xl/comments2.xml><?xml version="1.0" encoding="utf-8"?>
<comments xmlns="http://schemas.openxmlformats.org/spreadsheetml/2006/main">
  <authors>
    <author>Author</author>
  </authors>
  <commentList>
    <comment ref="A2" authorId="0">
      <text>
        <r>
          <rPr>
            <b/>
            <sz val="8"/>
            <color indexed="81"/>
            <rFont val="Tahoma"/>
            <family val="2"/>
          </rPr>
          <t>Position of rotating line along the chord for twist calculations.
0 - twist is around LE
1 - twist is around TE</t>
        </r>
      </text>
    </comment>
    <comment ref="A8" authorId="0">
      <text>
        <r>
          <rPr>
            <b/>
            <sz val="8"/>
            <color indexed="81"/>
            <rFont val="Tahoma"/>
            <family val="2"/>
          </rPr>
          <t>See NOTE!</t>
        </r>
      </text>
    </comment>
  </commentList>
</comments>
</file>

<file path=xl/comments3.xml><?xml version="1.0" encoding="utf-8"?>
<comments xmlns="http://schemas.openxmlformats.org/spreadsheetml/2006/main">
  <authors>
    <author>Author</author>
  </authors>
  <commentList>
    <comment ref="A16" authorId="0">
      <text>
        <r>
          <rPr>
            <b/>
            <sz val="8"/>
            <color indexed="81"/>
            <rFont val="Tahoma"/>
            <family val="2"/>
          </rPr>
          <t>Altitude above seal level</t>
        </r>
      </text>
    </comment>
    <comment ref="A18" authorId="0">
      <text>
        <r>
          <rPr>
            <b/>
            <sz val="8"/>
            <color indexed="81"/>
            <rFont val="Tahoma"/>
            <family val="2"/>
          </rPr>
          <t>Speed at Cl for which BSLD is designed</t>
        </r>
      </text>
    </comment>
    <comment ref="A22" authorId="0">
      <text>
        <r>
          <rPr>
            <b/>
            <sz val="8"/>
            <color indexed="81"/>
            <rFont val="Tahoma"/>
            <family val="2"/>
          </rPr>
          <t>Enter 1 for BSLD where gamma is proportional to sin^3.
Enter 0 for elliptical lift distribution. 
Values between are also possible. See how parameters change on the graph with the change of mi.</t>
        </r>
      </text>
    </comment>
    <comment ref="A26" authorId="0">
      <text>
        <r>
          <rPr>
            <b/>
            <sz val="8"/>
            <color indexed="81"/>
            <rFont val="Tahoma"/>
            <family val="2"/>
          </rPr>
          <t>2D airfoil Cl vs AoA gradient, common value is 0,1.</t>
        </r>
      </text>
    </comment>
  </commentList>
</comments>
</file>

<file path=xl/sharedStrings.xml><?xml version="1.0" encoding="utf-8"?>
<sst xmlns="http://schemas.openxmlformats.org/spreadsheetml/2006/main" count="296" uniqueCount="125">
  <si>
    <t>Position</t>
  </si>
  <si>
    <t>Chord</t>
  </si>
  <si>
    <t>Offset</t>
  </si>
  <si>
    <t>Tip</t>
  </si>
  <si>
    <t>Root</t>
  </si>
  <si>
    <t>Twist</t>
  </si>
  <si>
    <t>x</t>
  </si>
  <si>
    <t>y</t>
  </si>
  <si>
    <t>z</t>
  </si>
  <si>
    <t>Rotated coordinates</t>
  </si>
  <si>
    <t>Rot.Point</t>
  </si>
  <si>
    <t>Taper</t>
  </si>
  <si>
    <t>%</t>
  </si>
  <si>
    <t>CG</t>
  </si>
  <si>
    <t>Tip chord [m]</t>
  </si>
  <si>
    <t>Span [m]</t>
  </si>
  <si>
    <t>Local chord [m]</t>
  </si>
  <si>
    <t>Posit. In % for AF morph.</t>
  </si>
  <si>
    <t>NACA0012</t>
  </si>
  <si>
    <t>TWIST (Prandtl) LLT</t>
  </si>
  <si>
    <t>v</t>
  </si>
  <si>
    <t>mi</t>
  </si>
  <si>
    <t>r</t>
  </si>
  <si>
    <t>Gamma</t>
  </si>
  <si>
    <t>S</t>
  </si>
  <si>
    <t>Flight level density [kg/m^3]</t>
  </si>
  <si>
    <t>Speed [m/s]</t>
  </si>
  <si>
    <t>mass [kg]</t>
  </si>
  <si>
    <t>ksi relative span position</t>
  </si>
  <si>
    <t>Airfoil ClvsAoA gradient</t>
  </si>
  <si>
    <t>Gamma0 at root</t>
  </si>
  <si>
    <t>w downwash [m/s]</t>
  </si>
  <si>
    <t>radius of gyration r</t>
  </si>
  <si>
    <t>x span position [m]</t>
  </si>
  <si>
    <t>Alpha induced [rad]</t>
  </si>
  <si>
    <t>Alpha induced [deg]</t>
  </si>
  <si>
    <t>Geometric Twist [deg]</t>
  </si>
  <si>
    <t>Position #</t>
  </si>
  <si>
    <t>Span position [m]</t>
  </si>
  <si>
    <t>Local Chord [m]</t>
  </si>
  <si>
    <t>Local LE offset [m]</t>
  </si>
  <si>
    <t>Geometric twist [deg]</t>
  </si>
  <si>
    <t>Span betw. sections [m]</t>
  </si>
  <si>
    <t>Twist aero+geom. [deg]</t>
  </si>
  <si>
    <t>Root chord</t>
  </si>
  <si>
    <t>Rot. Line relative to chord</t>
  </si>
  <si>
    <t>Flight height ASL [m]</t>
  </si>
  <si>
    <t>Local lift coeff. Cl</t>
  </si>
  <si>
    <t>Cl for Designing BSLD</t>
  </si>
  <si>
    <t>NACA0008</t>
  </si>
  <si>
    <t>NACA0010</t>
  </si>
  <si>
    <t>NACA0015</t>
  </si>
  <si>
    <t>Horten Standard 13%</t>
  </si>
  <si>
    <t>Horten II Tropfen sysmétrique 10%</t>
  </si>
  <si>
    <t>Possible Root airfoils</t>
  </si>
  <si>
    <t>Symmetrical airfoils, generally used on wingtips</t>
  </si>
  <si>
    <t>Horten Standard 15%</t>
  </si>
  <si>
    <t>Horten 20</t>
  </si>
  <si>
    <t>Root Ho15%</t>
  </si>
  <si>
    <t>Zero lift AoA for local airfoil</t>
  </si>
  <si>
    <t>Span</t>
  </si>
  <si>
    <t>Span position</t>
  </si>
  <si>
    <t>Span coordinate</t>
  </si>
  <si>
    <t>LE a</t>
  </si>
  <si>
    <t>LE b</t>
  </si>
  <si>
    <t>LE position</t>
  </si>
  <si>
    <t>TE a</t>
  </si>
  <si>
    <t>TE b</t>
  </si>
  <si>
    <t>TE position</t>
  </si>
  <si>
    <t>Local chord</t>
  </si>
  <si>
    <t>Wing area of section</t>
  </si>
  <si>
    <t>Mass [kg]</t>
  </si>
  <si>
    <t xml:space="preserve">mi </t>
  </si>
  <si>
    <t>Root chord [m]</t>
  </si>
  <si>
    <t>Zero lift AoA for Root airfoil</t>
  </si>
  <si>
    <t>Zero lift AoA for Tip airfoil</t>
  </si>
  <si>
    <t>Airfoil lift slope [per deg]</t>
  </si>
  <si>
    <t>Wing area S [m2]</t>
  </si>
  <si>
    <t xml:space="preserve">Ribs for graph: </t>
  </si>
  <si>
    <t>left tip</t>
  </si>
  <si>
    <t>1/4 chord position</t>
  </si>
  <si>
    <t>Cl for designing Lift Distr.</t>
  </si>
  <si>
    <t>Height ASL  [m]</t>
  </si>
  <si>
    <t>LE b  parabola factor</t>
  </si>
  <si>
    <t>TE a  parabola factor</t>
  </si>
  <si>
    <t>TE b  parabola factor</t>
  </si>
  <si>
    <t>Speed at above Cl [m/s]</t>
  </si>
  <si>
    <t>Re</t>
  </si>
  <si>
    <t>Planform shape:</t>
  </si>
  <si>
    <t>MAC</t>
  </si>
  <si>
    <t>CG at %MAC from LE</t>
  </si>
  <si>
    <t>MAC calc:</t>
  </si>
  <si>
    <t>Local taper</t>
  </si>
  <si>
    <t>MAC span position [m]</t>
  </si>
  <si>
    <t>Mac span position:</t>
  </si>
  <si>
    <t>TE a- LE a</t>
  </si>
  <si>
    <t>TEb-TEb</t>
  </si>
  <si>
    <t>x1</t>
  </si>
  <si>
    <t>x2</t>
  </si>
  <si>
    <t>Span position of mac</t>
  </si>
  <si>
    <t>For mac graph:</t>
  </si>
  <si>
    <t>Cg at MAC</t>
  </si>
  <si>
    <t>LE a parabola factor</t>
  </si>
  <si>
    <t>NP</t>
  </si>
  <si>
    <t>MAC 25%</t>
  </si>
  <si>
    <t>Local 1/4 sweep [deg]</t>
  </si>
  <si>
    <t>Total sweep [deg]</t>
  </si>
  <si>
    <t>Total sweep 1/4 chord [deg]</t>
  </si>
  <si>
    <t>LE sweep [deg]</t>
  </si>
  <si>
    <t>Local LE sweep [deg]</t>
  </si>
  <si>
    <t>Section width [m]</t>
  </si>
  <si>
    <t>LE offset [m]</t>
  </si>
  <si>
    <t>Geometric data to be used in FLZ Vortex or some other analysis software:</t>
  </si>
  <si>
    <t>Local sweep*local S</t>
  </si>
  <si>
    <t>Local 1/4 chord sweep [deg</t>
  </si>
  <si>
    <t>Position:</t>
  </si>
  <si>
    <t>Total twist [deg]</t>
  </si>
  <si>
    <t>Aspect Ratio</t>
  </si>
  <si>
    <t>Geometrical Twist [deg]</t>
  </si>
  <si>
    <t>CG position from root LE</t>
  </si>
  <si>
    <t>Neutral Point  at % of MAC</t>
  </si>
  <si>
    <t>X Neutral point from root LE [m]</t>
  </si>
  <si>
    <t>MAC 25%  position [m]</t>
  </si>
  <si>
    <t>Static margin in % MAC</t>
  </si>
  <si>
    <t>NOTE: READ COMMENT!!!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</si>
</sst>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0.00000"/>
    <numFmt numFmtId="166" formatCode="0.000000"/>
  </numFmts>
  <fonts count="10" x14ac:knownFonts="1">
    <font>
      <sz val="11"/>
      <color theme="1"/>
      <name val="Calibri"/>
      <family val="2"/>
      <scheme val="minor"/>
    </font>
    <font>
      <sz val="11"/>
      <color rgb="FFFF0000"/>
      <name val="Calibri"/>
      <family val="2"/>
      <scheme val="minor"/>
    </font>
    <font>
      <b/>
      <sz val="11"/>
      <color theme="1"/>
      <name val="Calibri"/>
      <family val="2"/>
      <scheme val="minor"/>
    </font>
    <font>
      <b/>
      <sz val="8"/>
      <color indexed="81"/>
      <name val="Tahoma"/>
      <family val="2"/>
    </font>
    <font>
      <b/>
      <sz val="11"/>
      <color rgb="FFFF0000"/>
      <name val="Calibri"/>
      <family val="2"/>
      <scheme val="minor"/>
    </font>
    <font>
      <sz val="11"/>
      <name val="Calibri"/>
      <family val="2"/>
      <scheme val="minor"/>
    </font>
    <font>
      <sz val="11"/>
      <color rgb="FF000000"/>
      <name val="Calibri"/>
      <family val="2"/>
      <scheme val="minor"/>
    </font>
    <font>
      <b/>
      <sz val="9"/>
      <color indexed="81"/>
      <name val="Tahoma"/>
      <charset val="1"/>
    </font>
    <font>
      <b/>
      <sz val="9"/>
      <color indexed="81"/>
      <name val="Tahoma"/>
      <family val="2"/>
    </font>
    <font>
      <b/>
      <sz val="12"/>
      <color indexed="81"/>
      <name val="Tahoma"/>
      <family val="2"/>
    </font>
  </fonts>
  <fills count="5">
    <fill>
      <patternFill patternType="none"/>
    </fill>
    <fill>
      <patternFill patternType="gray125"/>
    </fill>
    <fill>
      <patternFill patternType="solid">
        <fgColor rgb="FFFFFF00"/>
        <bgColor indexed="64"/>
      </patternFill>
    </fill>
    <fill>
      <patternFill patternType="solid">
        <fgColor theme="6"/>
        <bgColor indexed="64"/>
      </patternFill>
    </fill>
    <fill>
      <patternFill patternType="solid">
        <fgColor theme="6" tint="0.39997558519241921"/>
        <bgColor indexed="64"/>
      </patternFill>
    </fill>
  </fills>
  <borders count="1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5">
    <xf numFmtId="0" fontId="0" fillId="0" borderId="0" xfId="0"/>
    <xf numFmtId="164" fontId="0" fillId="0" borderId="0" xfId="0" applyNumberFormat="1"/>
    <xf numFmtId="0" fontId="0" fillId="0" borderId="0" xfId="0" applyNumberFormat="1"/>
    <xf numFmtId="0" fontId="0" fillId="2" borderId="0" xfId="0" applyFill="1"/>
    <xf numFmtId="0" fontId="1" fillId="0" borderId="0" xfId="0" applyFont="1"/>
    <xf numFmtId="3" fontId="0" fillId="0" borderId="0" xfId="0" applyNumberFormat="1"/>
    <xf numFmtId="0" fontId="2" fillId="0" borderId="0" xfId="0" applyFont="1"/>
    <xf numFmtId="165" fontId="0" fillId="0" borderId="0" xfId="0" applyNumberFormat="1"/>
    <xf numFmtId="0" fontId="2" fillId="0" borderId="0" xfId="0" applyFont="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Border="1"/>
    <xf numFmtId="0" fontId="1" fillId="0" borderId="0" xfId="0" applyFont="1" applyAlignment="1"/>
    <xf numFmtId="0" fontId="0" fillId="2" borderId="0" xfId="0" applyFill="1" applyBorder="1"/>
    <xf numFmtId="0" fontId="2" fillId="0" borderId="0" xfId="0" applyFont="1" applyBorder="1"/>
    <xf numFmtId="0" fontId="0" fillId="3" borderId="0" xfId="0" applyFill="1" applyBorder="1"/>
    <xf numFmtId="0" fontId="0" fillId="3" borderId="4" xfId="0" applyFill="1" applyBorder="1"/>
    <xf numFmtId="0" fontId="0" fillId="0" borderId="8" xfId="0" applyBorder="1"/>
    <xf numFmtId="0" fontId="0" fillId="3" borderId="1" xfId="0" applyFill="1" applyBorder="1"/>
    <xf numFmtId="0" fontId="0" fillId="3" borderId="7" xfId="0" applyFill="1" applyBorder="1"/>
    <xf numFmtId="0" fontId="0" fillId="3" borderId="2" xfId="0" applyFill="1" applyBorder="1"/>
    <xf numFmtId="0" fontId="0" fillId="3" borderId="3" xfId="0" applyFill="1" applyBorder="1"/>
    <xf numFmtId="0" fontId="0" fillId="3" borderId="5" xfId="0" applyFill="1" applyBorder="1"/>
    <xf numFmtId="0" fontId="0" fillId="3" borderId="8" xfId="0" applyFill="1" applyBorder="1"/>
    <xf numFmtId="0" fontId="0" fillId="3" borderId="6" xfId="0" applyFill="1" applyBorder="1"/>
    <xf numFmtId="0" fontId="4" fillId="2" borderId="0" xfId="0" applyFont="1" applyFill="1"/>
    <xf numFmtId="0" fontId="1" fillId="0" borderId="0" xfId="0" applyFont="1" applyAlignment="1">
      <alignment horizontal="center"/>
    </xf>
    <xf numFmtId="0" fontId="6" fillId="0" borderId="0" xfId="0" applyFont="1"/>
    <xf numFmtId="0" fontId="0" fillId="0" borderId="1" xfId="0" applyBorder="1"/>
    <xf numFmtId="0" fontId="5" fillId="0" borderId="3" xfId="0" applyFont="1" applyBorder="1"/>
    <xf numFmtId="166" fontId="0" fillId="0" borderId="0" xfId="0" applyNumberFormat="1"/>
    <xf numFmtId="0" fontId="0" fillId="0" borderId="0" xfId="0" applyFont="1"/>
    <xf numFmtId="0" fontId="2" fillId="0" borderId="0" xfId="0" applyFont="1" applyBorder="1" applyAlignment="1">
      <alignment horizontal="center"/>
    </xf>
    <xf numFmtId="0" fontId="2" fillId="0" borderId="3" xfId="0" applyFont="1" applyBorder="1" applyAlignment="1">
      <alignment horizontal="center"/>
    </xf>
    <xf numFmtId="166" fontId="0" fillId="2" borderId="0" xfId="0" applyNumberFormat="1" applyFill="1"/>
    <xf numFmtId="0" fontId="0" fillId="2" borderId="9" xfId="0" applyFill="1" applyBorder="1"/>
    <xf numFmtId="0" fontId="2" fillId="4" borderId="10" xfId="0" applyFont="1" applyFill="1" applyBorder="1"/>
    <xf numFmtId="0" fontId="2" fillId="4" borderId="11" xfId="0" applyFont="1" applyFill="1" applyBorder="1"/>
    <xf numFmtId="0" fontId="2" fillId="4" borderId="12" xfId="0" applyFont="1" applyFill="1" applyBorder="1"/>
    <xf numFmtId="0" fontId="0" fillId="3" borderId="10" xfId="0" applyFill="1" applyBorder="1"/>
    <xf numFmtId="0" fontId="0" fillId="3" borderId="11" xfId="0" applyFill="1" applyBorder="1"/>
    <xf numFmtId="0" fontId="0" fillId="3" borderId="12" xfId="0" applyFill="1" applyBorder="1"/>
    <xf numFmtId="0" fontId="5" fillId="0" borderId="0" xfId="0" applyFont="1"/>
    <xf numFmtId="0" fontId="0" fillId="0" borderId="0" xfId="0" applyFill="1" applyBorder="1"/>
    <xf numFmtId="0" fontId="2" fillId="3" borderId="0" xfId="0" applyFont="1" applyFill="1"/>
    <xf numFmtId="0" fontId="2" fillId="3" borderId="10" xfId="0" applyFont="1" applyFill="1" applyBorder="1"/>
    <xf numFmtId="0" fontId="2" fillId="3" borderId="11" xfId="0" applyFont="1" applyFill="1" applyBorder="1"/>
    <xf numFmtId="0" fontId="2" fillId="3" borderId="12" xfId="0" applyFont="1" applyFill="1" applyBorder="1"/>
    <xf numFmtId="0" fontId="0" fillId="2" borderId="4" xfId="0" applyFill="1" applyBorder="1"/>
    <xf numFmtId="0" fontId="0" fillId="3" borderId="13" xfId="0" applyFill="1" applyBorder="1"/>
    <xf numFmtId="0" fontId="4" fillId="0" borderId="0" xfId="0" applyFont="1"/>
    <xf numFmtId="0" fontId="2" fillId="3" borderId="10" xfId="0" applyFont="1" applyFill="1" applyBorder="1" applyAlignment="1">
      <alignment horizontal="center"/>
    </xf>
    <xf numFmtId="0" fontId="2" fillId="3" borderId="12" xfId="0" applyFont="1" applyFill="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4" borderId="0" xfId="0" applyFont="1" applyFill="1" applyAlignment="1">
      <alignment horizontal="center"/>
    </xf>
    <xf numFmtId="0" fontId="2" fillId="4" borderId="7"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Planform</a:t>
            </a:r>
          </a:p>
        </c:rich>
      </c:tx>
      <c:layout>
        <c:manualLayout>
          <c:xMode val="edge"/>
          <c:yMode val="edge"/>
          <c:x val="4.4294775984391112E-2"/>
          <c:y val="0.11624689131098728"/>
        </c:manualLayout>
      </c:layout>
      <c:overlay val="1"/>
    </c:title>
    <c:autoTitleDeleted val="0"/>
    <c:plotArea>
      <c:layout/>
      <c:scatterChart>
        <c:scatterStyle val="smoothMarker"/>
        <c:varyColors val="0"/>
        <c:ser>
          <c:idx val="0"/>
          <c:order val="0"/>
          <c:tx>
            <c:v>LE right</c:v>
          </c:tx>
          <c:marker>
            <c:symbol val="none"/>
          </c:marker>
          <c:xVal>
            <c:numRef>
              <c:f>'Calculations (ignore)'!$B$3:$AA$3</c:f>
              <c:numCache>
                <c:formatCode>General</c:formatCode>
                <c:ptCount val="26"/>
                <c:pt idx="0">
                  <c:v>0</c:v>
                </c:pt>
                <c:pt idx="1">
                  <c:v>0.125</c:v>
                </c:pt>
                <c:pt idx="2">
                  <c:v>0.25</c:v>
                </c:pt>
                <c:pt idx="3">
                  <c:v>0.375</c:v>
                </c:pt>
                <c:pt idx="4">
                  <c:v>0.5</c:v>
                </c:pt>
                <c:pt idx="5">
                  <c:v>0.625</c:v>
                </c:pt>
                <c:pt idx="6">
                  <c:v>0.74999999999999989</c:v>
                </c:pt>
                <c:pt idx="7">
                  <c:v>0.87499999999999989</c:v>
                </c:pt>
                <c:pt idx="8">
                  <c:v>1</c:v>
                </c:pt>
                <c:pt idx="9">
                  <c:v>1.125</c:v>
                </c:pt>
                <c:pt idx="10">
                  <c:v>1.25</c:v>
                </c:pt>
                <c:pt idx="11">
                  <c:v>1.375</c:v>
                </c:pt>
                <c:pt idx="12">
                  <c:v>1.5</c:v>
                </c:pt>
                <c:pt idx="13">
                  <c:v>0</c:v>
                </c:pt>
                <c:pt idx="14">
                  <c:v>-0.125</c:v>
                </c:pt>
                <c:pt idx="15">
                  <c:v>-0.25</c:v>
                </c:pt>
                <c:pt idx="16">
                  <c:v>-0.375</c:v>
                </c:pt>
                <c:pt idx="17">
                  <c:v>-0.5</c:v>
                </c:pt>
                <c:pt idx="18">
                  <c:v>-0.625</c:v>
                </c:pt>
                <c:pt idx="19">
                  <c:v>-0.74999999999999989</c:v>
                </c:pt>
                <c:pt idx="20">
                  <c:v>-0.87499999999999989</c:v>
                </c:pt>
                <c:pt idx="21">
                  <c:v>-1</c:v>
                </c:pt>
                <c:pt idx="22">
                  <c:v>-1.125</c:v>
                </c:pt>
                <c:pt idx="23">
                  <c:v>-1.25</c:v>
                </c:pt>
                <c:pt idx="24">
                  <c:v>-1.375</c:v>
                </c:pt>
                <c:pt idx="25">
                  <c:v>-1.5</c:v>
                </c:pt>
              </c:numCache>
            </c:numRef>
          </c:xVal>
          <c:yVal>
            <c:numRef>
              <c:f>'Calculations (ignore)'!$B$7:$N$7</c:f>
              <c:numCache>
                <c:formatCode>General</c:formatCode>
                <c:ptCount val="13"/>
                <c:pt idx="0">
                  <c:v>0</c:v>
                </c:pt>
                <c:pt idx="1">
                  <c:v>-7.8125E-3</c:v>
                </c:pt>
                <c:pt idx="2">
                  <c:v>-3.125E-2</c:v>
                </c:pt>
                <c:pt idx="3">
                  <c:v>-7.03125E-2</c:v>
                </c:pt>
                <c:pt idx="4">
                  <c:v>-0.125</c:v>
                </c:pt>
                <c:pt idx="5">
                  <c:v>-0.1953125</c:v>
                </c:pt>
                <c:pt idx="6">
                  <c:v>-0.28124999999999989</c:v>
                </c:pt>
                <c:pt idx="7">
                  <c:v>-0.38281249999999989</c:v>
                </c:pt>
                <c:pt idx="8">
                  <c:v>-0.5</c:v>
                </c:pt>
                <c:pt idx="9">
                  <c:v>-0.6328125</c:v>
                </c:pt>
                <c:pt idx="10">
                  <c:v>-0.78125</c:v>
                </c:pt>
                <c:pt idx="11">
                  <c:v>-0.9453125</c:v>
                </c:pt>
                <c:pt idx="12">
                  <c:v>-1.125</c:v>
                </c:pt>
              </c:numCache>
            </c:numRef>
          </c:yVal>
          <c:smooth val="1"/>
        </c:ser>
        <c:ser>
          <c:idx val="1"/>
          <c:order val="1"/>
          <c:tx>
            <c:v>TE</c:v>
          </c:tx>
          <c:spPr>
            <a:ln>
              <a:solidFill>
                <a:schemeClr val="accent1"/>
              </a:solidFill>
            </a:ln>
          </c:spPr>
          <c:marker>
            <c:symbol val="none"/>
          </c:marker>
          <c:xVal>
            <c:numRef>
              <c:f>'Calculations (ignore)'!$B$3:$N$3</c:f>
              <c:numCache>
                <c:formatCode>General</c:formatCode>
                <c:ptCount val="13"/>
                <c:pt idx="0">
                  <c:v>0</c:v>
                </c:pt>
                <c:pt idx="1">
                  <c:v>0.125</c:v>
                </c:pt>
                <c:pt idx="2">
                  <c:v>0.25</c:v>
                </c:pt>
                <c:pt idx="3">
                  <c:v>0.375</c:v>
                </c:pt>
                <c:pt idx="4">
                  <c:v>0.5</c:v>
                </c:pt>
                <c:pt idx="5">
                  <c:v>0.625</c:v>
                </c:pt>
                <c:pt idx="6">
                  <c:v>0.74999999999999989</c:v>
                </c:pt>
                <c:pt idx="7">
                  <c:v>0.87499999999999989</c:v>
                </c:pt>
                <c:pt idx="8">
                  <c:v>1</c:v>
                </c:pt>
                <c:pt idx="9">
                  <c:v>1.125</c:v>
                </c:pt>
                <c:pt idx="10">
                  <c:v>1.25</c:v>
                </c:pt>
                <c:pt idx="11">
                  <c:v>1.375</c:v>
                </c:pt>
                <c:pt idx="12">
                  <c:v>1.5</c:v>
                </c:pt>
              </c:numCache>
            </c:numRef>
          </c:xVal>
          <c:yVal>
            <c:numRef>
              <c:f>'Calculations (ignore)'!$B$10:$N$10</c:f>
              <c:numCache>
                <c:formatCode>General</c:formatCode>
                <c:ptCount val="13"/>
                <c:pt idx="0">
                  <c:v>-0.9</c:v>
                </c:pt>
                <c:pt idx="1">
                  <c:v>-0.90338541666666672</c:v>
                </c:pt>
                <c:pt idx="2">
                  <c:v>-0.91145833333333337</c:v>
                </c:pt>
                <c:pt idx="3">
                  <c:v>-0.92421875000000009</c:v>
                </c:pt>
                <c:pt idx="4">
                  <c:v>-0.94166666666666665</c:v>
                </c:pt>
                <c:pt idx="5">
                  <c:v>-0.96380208333333339</c:v>
                </c:pt>
                <c:pt idx="6">
                  <c:v>-0.99062499999999998</c:v>
                </c:pt>
                <c:pt idx="7">
                  <c:v>-1.0221354166666667</c:v>
                </c:pt>
                <c:pt idx="8">
                  <c:v>-1.0583333333333333</c:v>
                </c:pt>
                <c:pt idx="9">
                  <c:v>-1.0992187500000001</c:v>
                </c:pt>
                <c:pt idx="10">
                  <c:v>-1.1447916666666667</c:v>
                </c:pt>
                <c:pt idx="11">
                  <c:v>-1.1950520833333333</c:v>
                </c:pt>
                <c:pt idx="12">
                  <c:v>-1.25</c:v>
                </c:pt>
              </c:numCache>
            </c:numRef>
          </c:yVal>
          <c:smooth val="1"/>
        </c:ser>
        <c:ser>
          <c:idx val="2"/>
          <c:order val="2"/>
          <c:tx>
            <c:v>LE left</c:v>
          </c:tx>
          <c:spPr>
            <a:ln>
              <a:solidFill>
                <a:schemeClr val="accent1"/>
              </a:solidFill>
            </a:ln>
          </c:spPr>
          <c:marker>
            <c:symbol val="none"/>
          </c:marker>
          <c:xVal>
            <c:numRef>
              <c:f>'Calculations (ignore)'!$O$3:$AA$3</c:f>
              <c:numCache>
                <c:formatCode>General</c:formatCode>
                <c:ptCount val="13"/>
                <c:pt idx="0">
                  <c:v>0</c:v>
                </c:pt>
                <c:pt idx="1">
                  <c:v>-0.125</c:v>
                </c:pt>
                <c:pt idx="2">
                  <c:v>-0.25</c:v>
                </c:pt>
                <c:pt idx="3">
                  <c:v>-0.375</c:v>
                </c:pt>
                <c:pt idx="4">
                  <c:v>-0.5</c:v>
                </c:pt>
                <c:pt idx="5">
                  <c:v>-0.625</c:v>
                </c:pt>
                <c:pt idx="6">
                  <c:v>-0.74999999999999989</c:v>
                </c:pt>
                <c:pt idx="7">
                  <c:v>-0.87499999999999989</c:v>
                </c:pt>
                <c:pt idx="8">
                  <c:v>-1</c:v>
                </c:pt>
                <c:pt idx="9">
                  <c:v>-1.125</c:v>
                </c:pt>
                <c:pt idx="10">
                  <c:v>-1.25</c:v>
                </c:pt>
                <c:pt idx="11">
                  <c:v>-1.375</c:v>
                </c:pt>
                <c:pt idx="12">
                  <c:v>-1.5</c:v>
                </c:pt>
              </c:numCache>
            </c:numRef>
          </c:xVal>
          <c:yVal>
            <c:numRef>
              <c:f>'Calculations (ignore)'!$O$7:$AA$7</c:f>
              <c:numCache>
                <c:formatCode>General</c:formatCode>
                <c:ptCount val="13"/>
                <c:pt idx="0">
                  <c:v>0</c:v>
                </c:pt>
                <c:pt idx="1">
                  <c:v>-7.8125E-3</c:v>
                </c:pt>
                <c:pt idx="2">
                  <c:v>-3.125E-2</c:v>
                </c:pt>
                <c:pt idx="3">
                  <c:v>-7.03125E-2</c:v>
                </c:pt>
                <c:pt idx="4">
                  <c:v>-0.125</c:v>
                </c:pt>
                <c:pt idx="5">
                  <c:v>-0.1953125</c:v>
                </c:pt>
                <c:pt idx="6">
                  <c:v>-0.28124999999999989</c:v>
                </c:pt>
                <c:pt idx="7">
                  <c:v>-0.38281249999999989</c:v>
                </c:pt>
                <c:pt idx="8">
                  <c:v>-0.5</c:v>
                </c:pt>
                <c:pt idx="9">
                  <c:v>-0.6328125</c:v>
                </c:pt>
                <c:pt idx="10">
                  <c:v>-0.78125</c:v>
                </c:pt>
                <c:pt idx="11">
                  <c:v>-0.9453125</c:v>
                </c:pt>
                <c:pt idx="12">
                  <c:v>-1.125</c:v>
                </c:pt>
              </c:numCache>
            </c:numRef>
          </c:yVal>
          <c:smooth val="1"/>
        </c:ser>
        <c:ser>
          <c:idx val="3"/>
          <c:order val="3"/>
          <c:tx>
            <c:v>TE left</c:v>
          </c:tx>
          <c:spPr>
            <a:ln>
              <a:solidFill>
                <a:schemeClr val="accent1"/>
              </a:solidFill>
            </a:ln>
          </c:spPr>
          <c:marker>
            <c:symbol val="none"/>
          </c:marker>
          <c:xVal>
            <c:numRef>
              <c:f>'Calculations (ignore)'!$O$3:$AA$3</c:f>
              <c:numCache>
                <c:formatCode>General</c:formatCode>
                <c:ptCount val="13"/>
                <c:pt idx="0">
                  <c:v>0</c:v>
                </c:pt>
                <c:pt idx="1">
                  <c:v>-0.125</c:v>
                </c:pt>
                <c:pt idx="2">
                  <c:v>-0.25</c:v>
                </c:pt>
                <c:pt idx="3">
                  <c:v>-0.375</c:v>
                </c:pt>
                <c:pt idx="4">
                  <c:v>-0.5</c:v>
                </c:pt>
                <c:pt idx="5">
                  <c:v>-0.625</c:v>
                </c:pt>
                <c:pt idx="6">
                  <c:v>-0.74999999999999989</c:v>
                </c:pt>
                <c:pt idx="7">
                  <c:v>-0.87499999999999989</c:v>
                </c:pt>
                <c:pt idx="8">
                  <c:v>-1</c:v>
                </c:pt>
                <c:pt idx="9">
                  <c:v>-1.125</c:v>
                </c:pt>
                <c:pt idx="10">
                  <c:v>-1.25</c:v>
                </c:pt>
                <c:pt idx="11">
                  <c:v>-1.375</c:v>
                </c:pt>
                <c:pt idx="12">
                  <c:v>-1.5</c:v>
                </c:pt>
              </c:numCache>
            </c:numRef>
          </c:xVal>
          <c:yVal>
            <c:numRef>
              <c:f>'Calculations (ignore)'!$O$10:$AA$10</c:f>
              <c:numCache>
                <c:formatCode>General</c:formatCode>
                <c:ptCount val="13"/>
                <c:pt idx="0">
                  <c:v>-0.9</c:v>
                </c:pt>
                <c:pt idx="1">
                  <c:v>-0.90338541666666672</c:v>
                </c:pt>
                <c:pt idx="2">
                  <c:v>-0.91145833333333337</c:v>
                </c:pt>
                <c:pt idx="3">
                  <c:v>-0.92421875000000009</c:v>
                </c:pt>
                <c:pt idx="4">
                  <c:v>-0.94166666666666665</c:v>
                </c:pt>
                <c:pt idx="5">
                  <c:v>-0.96380208333333339</c:v>
                </c:pt>
                <c:pt idx="6">
                  <c:v>-0.99062499999999998</c:v>
                </c:pt>
                <c:pt idx="7">
                  <c:v>-1.0221354166666667</c:v>
                </c:pt>
                <c:pt idx="8">
                  <c:v>-1.0583333333333333</c:v>
                </c:pt>
                <c:pt idx="9">
                  <c:v>-1.0992187500000001</c:v>
                </c:pt>
                <c:pt idx="10">
                  <c:v>-1.1447916666666667</c:v>
                </c:pt>
                <c:pt idx="11">
                  <c:v>-1.1950520833333333</c:v>
                </c:pt>
                <c:pt idx="12">
                  <c:v>-1.25</c:v>
                </c:pt>
              </c:numCache>
            </c:numRef>
          </c:yVal>
          <c:smooth val="1"/>
        </c:ser>
        <c:ser>
          <c:idx val="4"/>
          <c:order val="4"/>
          <c:tx>
            <c:v>0</c:v>
          </c:tx>
          <c:spPr>
            <a:ln>
              <a:solidFill>
                <a:schemeClr val="accent1"/>
              </a:solidFill>
            </a:ln>
          </c:spPr>
          <c:marker>
            <c:symbol val="none"/>
          </c:marker>
          <c:xVal>
            <c:numRef>
              <c:f>'Calculations (ignore)'!$B$54:$B$55</c:f>
              <c:numCache>
                <c:formatCode>General</c:formatCode>
                <c:ptCount val="2"/>
                <c:pt idx="0">
                  <c:v>0</c:v>
                </c:pt>
                <c:pt idx="1">
                  <c:v>0</c:v>
                </c:pt>
              </c:numCache>
            </c:numRef>
          </c:xVal>
          <c:yVal>
            <c:numRef>
              <c:f>'Calculations (ignore)'!$B$52:$B$53</c:f>
              <c:numCache>
                <c:formatCode>General</c:formatCode>
                <c:ptCount val="2"/>
                <c:pt idx="0">
                  <c:v>0</c:v>
                </c:pt>
                <c:pt idx="1">
                  <c:v>-0.9</c:v>
                </c:pt>
              </c:numCache>
            </c:numRef>
          </c:yVal>
          <c:smooth val="1"/>
        </c:ser>
        <c:ser>
          <c:idx val="5"/>
          <c:order val="5"/>
          <c:tx>
            <c:v>1</c:v>
          </c:tx>
          <c:spPr>
            <a:ln>
              <a:solidFill>
                <a:schemeClr val="accent1"/>
              </a:solidFill>
            </a:ln>
          </c:spPr>
          <c:marker>
            <c:symbol val="none"/>
          </c:marker>
          <c:xVal>
            <c:numRef>
              <c:f>'Calculations (ignore)'!$C$54:$C$55</c:f>
              <c:numCache>
                <c:formatCode>General</c:formatCode>
                <c:ptCount val="2"/>
                <c:pt idx="0">
                  <c:v>0.125</c:v>
                </c:pt>
                <c:pt idx="1">
                  <c:v>0.125</c:v>
                </c:pt>
              </c:numCache>
            </c:numRef>
          </c:xVal>
          <c:yVal>
            <c:numRef>
              <c:f>'Calculations (ignore)'!$C$52:$C$53</c:f>
              <c:numCache>
                <c:formatCode>General</c:formatCode>
                <c:ptCount val="2"/>
                <c:pt idx="0">
                  <c:v>-7.8125E-3</c:v>
                </c:pt>
                <c:pt idx="1">
                  <c:v>-0.90338541666666672</c:v>
                </c:pt>
              </c:numCache>
            </c:numRef>
          </c:yVal>
          <c:smooth val="1"/>
        </c:ser>
        <c:ser>
          <c:idx val="6"/>
          <c:order val="6"/>
          <c:tx>
            <c:v>2</c:v>
          </c:tx>
          <c:spPr>
            <a:ln>
              <a:solidFill>
                <a:schemeClr val="accent1"/>
              </a:solidFill>
            </a:ln>
          </c:spPr>
          <c:marker>
            <c:symbol val="none"/>
          </c:marker>
          <c:xVal>
            <c:numRef>
              <c:f>'Calculations (ignore)'!$D$54:$D$55</c:f>
              <c:numCache>
                <c:formatCode>General</c:formatCode>
                <c:ptCount val="2"/>
                <c:pt idx="0">
                  <c:v>0.25</c:v>
                </c:pt>
                <c:pt idx="1">
                  <c:v>0.25</c:v>
                </c:pt>
              </c:numCache>
            </c:numRef>
          </c:xVal>
          <c:yVal>
            <c:numRef>
              <c:f>'Calculations (ignore)'!$D$52:$D$53</c:f>
              <c:numCache>
                <c:formatCode>General</c:formatCode>
                <c:ptCount val="2"/>
                <c:pt idx="0">
                  <c:v>-3.125E-2</c:v>
                </c:pt>
                <c:pt idx="1">
                  <c:v>-0.91145833333333337</c:v>
                </c:pt>
              </c:numCache>
            </c:numRef>
          </c:yVal>
          <c:smooth val="1"/>
        </c:ser>
        <c:ser>
          <c:idx val="7"/>
          <c:order val="7"/>
          <c:tx>
            <c:v>3</c:v>
          </c:tx>
          <c:spPr>
            <a:ln>
              <a:solidFill>
                <a:schemeClr val="accent1"/>
              </a:solidFill>
            </a:ln>
          </c:spPr>
          <c:marker>
            <c:symbol val="none"/>
          </c:marker>
          <c:xVal>
            <c:numRef>
              <c:f>'Calculations (ignore)'!$E$54:$E$55</c:f>
              <c:numCache>
                <c:formatCode>General</c:formatCode>
                <c:ptCount val="2"/>
                <c:pt idx="0">
                  <c:v>0.375</c:v>
                </c:pt>
                <c:pt idx="1">
                  <c:v>0.375</c:v>
                </c:pt>
              </c:numCache>
            </c:numRef>
          </c:xVal>
          <c:yVal>
            <c:numRef>
              <c:f>'Calculations (ignore)'!$E$52:$E$53</c:f>
              <c:numCache>
                <c:formatCode>General</c:formatCode>
                <c:ptCount val="2"/>
                <c:pt idx="0">
                  <c:v>-7.03125E-2</c:v>
                </c:pt>
                <c:pt idx="1">
                  <c:v>-0.92421875000000009</c:v>
                </c:pt>
              </c:numCache>
            </c:numRef>
          </c:yVal>
          <c:smooth val="1"/>
        </c:ser>
        <c:ser>
          <c:idx val="8"/>
          <c:order val="8"/>
          <c:tx>
            <c:v>4</c:v>
          </c:tx>
          <c:spPr>
            <a:ln>
              <a:solidFill>
                <a:schemeClr val="accent1"/>
              </a:solidFill>
            </a:ln>
          </c:spPr>
          <c:marker>
            <c:symbol val="none"/>
          </c:marker>
          <c:xVal>
            <c:numRef>
              <c:f>'Calculations (ignore)'!$F$54:$F$55</c:f>
              <c:numCache>
                <c:formatCode>General</c:formatCode>
                <c:ptCount val="2"/>
                <c:pt idx="0">
                  <c:v>0.5</c:v>
                </c:pt>
                <c:pt idx="1">
                  <c:v>0.5</c:v>
                </c:pt>
              </c:numCache>
            </c:numRef>
          </c:xVal>
          <c:yVal>
            <c:numRef>
              <c:f>'Calculations (ignore)'!$F$52:$F$53</c:f>
              <c:numCache>
                <c:formatCode>General</c:formatCode>
                <c:ptCount val="2"/>
                <c:pt idx="0">
                  <c:v>-0.125</c:v>
                </c:pt>
                <c:pt idx="1">
                  <c:v>-0.94166666666666665</c:v>
                </c:pt>
              </c:numCache>
            </c:numRef>
          </c:yVal>
          <c:smooth val="1"/>
        </c:ser>
        <c:ser>
          <c:idx val="9"/>
          <c:order val="9"/>
          <c:tx>
            <c:v>5+'Calculations (ignore)'!$G$48:$G$49</c:v>
          </c:tx>
          <c:spPr>
            <a:ln>
              <a:solidFill>
                <a:schemeClr val="accent1"/>
              </a:solidFill>
            </a:ln>
          </c:spPr>
          <c:marker>
            <c:symbol val="none"/>
          </c:marker>
          <c:xVal>
            <c:numRef>
              <c:f>'Calculations (ignore)'!$G$54:$G$55</c:f>
              <c:numCache>
                <c:formatCode>General</c:formatCode>
                <c:ptCount val="2"/>
                <c:pt idx="0">
                  <c:v>0.625</c:v>
                </c:pt>
                <c:pt idx="1">
                  <c:v>0.625</c:v>
                </c:pt>
              </c:numCache>
            </c:numRef>
          </c:xVal>
          <c:yVal>
            <c:numRef>
              <c:f>'Calculations (ignore)'!$G$52:$G$53</c:f>
              <c:numCache>
                <c:formatCode>General</c:formatCode>
                <c:ptCount val="2"/>
                <c:pt idx="0">
                  <c:v>-0.1953125</c:v>
                </c:pt>
                <c:pt idx="1">
                  <c:v>-0.96380208333333339</c:v>
                </c:pt>
              </c:numCache>
            </c:numRef>
          </c:yVal>
          <c:smooth val="1"/>
        </c:ser>
        <c:ser>
          <c:idx val="10"/>
          <c:order val="10"/>
          <c:tx>
            <c:v>6</c:v>
          </c:tx>
          <c:spPr>
            <a:ln>
              <a:solidFill>
                <a:schemeClr val="accent1"/>
              </a:solidFill>
            </a:ln>
          </c:spPr>
          <c:marker>
            <c:symbol val="none"/>
          </c:marker>
          <c:xVal>
            <c:numRef>
              <c:f>'Calculations (ignore)'!$H$54:$H$55</c:f>
              <c:numCache>
                <c:formatCode>General</c:formatCode>
                <c:ptCount val="2"/>
                <c:pt idx="0">
                  <c:v>0.74999999999999989</c:v>
                </c:pt>
                <c:pt idx="1">
                  <c:v>0.74999999999999989</c:v>
                </c:pt>
              </c:numCache>
            </c:numRef>
          </c:xVal>
          <c:yVal>
            <c:numRef>
              <c:f>'Calculations (ignore)'!$H$52:$H$53</c:f>
              <c:numCache>
                <c:formatCode>General</c:formatCode>
                <c:ptCount val="2"/>
                <c:pt idx="0">
                  <c:v>-0.28124999999999989</c:v>
                </c:pt>
                <c:pt idx="1">
                  <c:v>-0.99062499999999998</c:v>
                </c:pt>
              </c:numCache>
            </c:numRef>
          </c:yVal>
          <c:smooth val="1"/>
        </c:ser>
        <c:ser>
          <c:idx val="11"/>
          <c:order val="11"/>
          <c:tx>
            <c:v>7</c:v>
          </c:tx>
          <c:spPr>
            <a:ln>
              <a:solidFill>
                <a:schemeClr val="accent1"/>
              </a:solidFill>
            </a:ln>
          </c:spPr>
          <c:marker>
            <c:symbol val="none"/>
          </c:marker>
          <c:xVal>
            <c:numRef>
              <c:f>'Calculations (ignore)'!$I$54:$I$55</c:f>
              <c:numCache>
                <c:formatCode>General</c:formatCode>
                <c:ptCount val="2"/>
                <c:pt idx="0">
                  <c:v>0.87499999999999989</c:v>
                </c:pt>
                <c:pt idx="1">
                  <c:v>0.87499999999999989</c:v>
                </c:pt>
              </c:numCache>
            </c:numRef>
          </c:xVal>
          <c:yVal>
            <c:numRef>
              <c:f>'Calculations (ignore)'!$I$52:$I$53</c:f>
              <c:numCache>
                <c:formatCode>General</c:formatCode>
                <c:ptCount val="2"/>
                <c:pt idx="0">
                  <c:v>-0.38281249999999989</c:v>
                </c:pt>
                <c:pt idx="1">
                  <c:v>-1.0221354166666667</c:v>
                </c:pt>
              </c:numCache>
            </c:numRef>
          </c:yVal>
          <c:smooth val="1"/>
        </c:ser>
        <c:ser>
          <c:idx val="12"/>
          <c:order val="12"/>
          <c:tx>
            <c:v>8</c:v>
          </c:tx>
          <c:spPr>
            <a:ln>
              <a:solidFill>
                <a:schemeClr val="accent1"/>
              </a:solidFill>
            </a:ln>
          </c:spPr>
          <c:marker>
            <c:symbol val="none"/>
          </c:marker>
          <c:xVal>
            <c:numRef>
              <c:f>'Calculations (ignore)'!$J$54:$J$55</c:f>
              <c:numCache>
                <c:formatCode>General</c:formatCode>
                <c:ptCount val="2"/>
                <c:pt idx="0">
                  <c:v>1</c:v>
                </c:pt>
                <c:pt idx="1">
                  <c:v>1</c:v>
                </c:pt>
              </c:numCache>
            </c:numRef>
          </c:xVal>
          <c:yVal>
            <c:numRef>
              <c:f>'Calculations (ignore)'!$J$52:$J$53</c:f>
              <c:numCache>
                <c:formatCode>General</c:formatCode>
                <c:ptCount val="2"/>
                <c:pt idx="0">
                  <c:v>-0.5</c:v>
                </c:pt>
                <c:pt idx="1">
                  <c:v>-1.0583333333333333</c:v>
                </c:pt>
              </c:numCache>
            </c:numRef>
          </c:yVal>
          <c:smooth val="1"/>
        </c:ser>
        <c:ser>
          <c:idx val="13"/>
          <c:order val="13"/>
          <c:tx>
            <c:v>9</c:v>
          </c:tx>
          <c:spPr>
            <a:ln>
              <a:solidFill>
                <a:schemeClr val="accent1"/>
              </a:solidFill>
            </a:ln>
          </c:spPr>
          <c:marker>
            <c:symbol val="none"/>
          </c:marker>
          <c:xVal>
            <c:numRef>
              <c:f>'Calculations (ignore)'!$K$54:$K$55</c:f>
              <c:numCache>
                <c:formatCode>General</c:formatCode>
                <c:ptCount val="2"/>
                <c:pt idx="0">
                  <c:v>1.125</c:v>
                </c:pt>
                <c:pt idx="1">
                  <c:v>1.125</c:v>
                </c:pt>
              </c:numCache>
            </c:numRef>
          </c:xVal>
          <c:yVal>
            <c:numRef>
              <c:f>'Calculations (ignore)'!$K$52:$K$53</c:f>
              <c:numCache>
                <c:formatCode>General</c:formatCode>
                <c:ptCount val="2"/>
                <c:pt idx="0">
                  <c:v>-0.6328125</c:v>
                </c:pt>
                <c:pt idx="1">
                  <c:v>-1.0992187500000001</c:v>
                </c:pt>
              </c:numCache>
            </c:numRef>
          </c:yVal>
          <c:smooth val="1"/>
        </c:ser>
        <c:ser>
          <c:idx val="14"/>
          <c:order val="14"/>
          <c:tx>
            <c:v>10</c:v>
          </c:tx>
          <c:spPr>
            <a:ln>
              <a:solidFill>
                <a:schemeClr val="accent1"/>
              </a:solidFill>
            </a:ln>
          </c:spPr>
          <c:marker>
            <c:symbol val="none"/>
          </c:marker>
          <c:xVal>
            <c:numRef>
              <c:f>'Calculations (ignore)'!$L$54:$L$55</c:f>
              <c:numCache>
                <c:formatCode>General</c:formatCode>
                <c:ptCount val="2"/>
                <c:pt idx="0">
                  <c:v>1.25</c:v>
                </c:pt>
                <c:pt idx="1">
                  <c:v>1.25</c:v>
                </c:pt>
              </c:numCache>
            </c:numRef>
          </c:xVal>
          <c:yVal>
            <c:numRef>
              <c:f>'Calculations (ignore)'!$L$52:$L$53</c:f>
              <c:numCache>
                <c:formatCode>General</c:formatCode>
                <c:ptCount val="2"/>
                <c:pt idx="0">
                  <c:v>-0.78125</c:v>
                </c:pt>
                <c:pt idx="1">
                  <c:v>-1.1447916666666667</c:v>
                </c:pt>
              </c:numCache>
            </c:numRef>
          </c:yVal>
          <c:smooth val="1"/>
        </c:ser>
        <c:ser>
          <c:idx val="15"/>
          <c:order val="15"/>
          <c:tx>
            <c:v>11</c:v>
          </c:tx>
          <c:spPr>
            <a:ln>
              <a:solidFill>
                <a:schemeClr val="accent1"/>
              </a:solidFill>
            </a:ln>
          </c:spPr>
          <c:marker>
            <c:symbol val="none"/>
          </c:marker>
          <c:xVal>
            <c:numRef>
              <c:f>'Calculations (ignore)'!$M$54:$M$55</c:f>
              <c:numCache>
                <c:formatCode>General</c:formatCode>
                <c:ptCount val="2"/>
                <c:pt idx="0">
                  <c:v>1.375</c:v>
                </c:pt>
                <c:pt idx="1">
                  <c:v>1.375</c:v>
                </c:pt>
              </c:numCache>
            </c:numRef>
          </c:xVal>
          <c:yVal>
            <c:numRef>
              <c:f>'Calculations (ignore)'!$M$52:$M$53</c:f>
              <c:numCache>
                <c:formatCode>General</c:formatCode>
                <c:ptCount val="2"/>
                <c:pt idx="0">
                  <c:v>-0.9453125</c:v>
                </c:pt>
                <c:pt idx="1">
                  <c:v>-1.1950520833333333</c:v>
                </c:pt>
              </c:numCache>
            </c:numRef>
          </c:yVal>
          <c:smooth val="1"/>
        </c:ser>
        <c:ser>
          <c:idx val="16"/>
          <c:order val="16"/>
          <c:tx>
            <c:v>12</c:v>
          </c:tx>
          <c:spPr>
            <a:ln>
              <a:solidFill>
                <a:schemeClr val="accent1"/>
              </a:solidFill>
            </a:ln>
          </c:spPr>
          <c:marker>
            <c:symbol val="none"/>
          </c:marker>
          <c:xVal>
            <c:numRef>
              <c:f>'Calculations (ignore)'!$N$54:$N$55</c:f>
              <c:numCache>
                <c:formatCode>General</c:formatCode>
                <c:ptCount val="2"/>
                <c:pt idx="0">
                  <c:v>1.5</c:v>
                </c:pt>
                <c:pt idx="1">
                  <c:v>1.5</c:v>
                </c:pt>
              </c:numCache>
            </c:numRef>
          </c:xVal>
          <c:yVal>
            <c:numRef>
              <c:f>'Calculations (ignore)'!$N$52:$N$53</c:f>
              <c:numCache>
                <c:formatCode>General</c:formatCode>
                <c:ptCount val="2"/>
                <c:pt idx="0">
                  <c:v>-1.125</c:v>
                </c:pt>
                <c:pt idx="1">
                  <c:v>-1.25</c:v>
                </c:pt>
              </c:numCache>
            </c:numRef>
          </c:yVal>
          <c:smooth val="1"/>
        </c:ser>
        <c:ser>
          <c:idx val="17"/>
          <c:order val="17"/>
          <c:tx>
            <c:v>Left tip</c:v>
          </c:tx>
          <c:spPr>
            <a:ln>
              <a:solidFill>
                <a:schemeClr val="accent1"/>
              </a:solidFill>
            </a:ln>
          </c:spPr>
          <c:marker>
            <c:symbol val="none"/>
          </c:marker>
          <c:xVal>
            <c:numRef>
              <c:f>'Calculations (ignore)'!$O$54:$O$55</c:f>
              <c:numCache>
                <c:formatCode>General</c:formatCode>
                <c:ptCount val="2"/>
                <c:pt idx="0">
                  <c:v>-1.5</c:v>
                </c:pt>
                <c:pt idx="1">
                  <c:v>-1.5</c:v>
                </c:pt>
              </c:numCache>
            </c:numRef>
          </c:xVal>
          <c:yVal>
            <c:numRef>
              <c:f>'Calculations (ignore)'!$O$52:$O$53</c:f>
              <c:numCache>
                <c:formatCode>General</c:formatCode>
                <c:ptCount val="2"/>
                <c:pt idx="0">
                  <c:v>-1.125</c:v>
                </c:pt>
                <c:pt idx="1">
                  <c:v>-1.25</c:v>
                </c:pt>
              </c:numCache>
            </c:numRef>
          </c:yVal>
          <c:smooth val="1"/>
        </c:ser>
        <c:ser>
          <c:idx val="18"/>
          <c:order val="18"/>
          <c:tx>
            <c:v>1/4 chord line left</c:v>
          </c:tx>
          <c:spPr>
            <a:ln>
              <a:solidFill>
                <a:schemeClr val="tx1"/>
              </a:solidFill>
              <a:prstDash val="dash"/>
            </a:ln>
          </c:spPr>
          <c:marker>
            <c:symbol val="none"/>
          </c:marker>
          <c:xVal>
            <c:numRef>
              <c:f>'Calculations (ignore)'!$O$3:$AA$3</c:f>
              <c:numCache>
                <c:formatCode>General</c:formatCode>
                <c:ptCount val="13"/>
                <c:pt idx="0">
                  <c:v>0</c:v>
                </c:pt>
                <c:pt idx="1">
                  <c:v>-0.125</c:v>
                </c:pt>
                <c:pt idx="2">
                  <c:v>-0.25</c:v>
                </c:pt>
                <c:pt idx="3">
                  <c:v>-0.375</c:v>
                </c:pt>
                <c:pt idx="4">
                  <c:v>-0.5</c:v>
                </c:pt>
                <c:pt idx="5">
                  <c:v>-0.625</c:v>
                </c:pt>
                <c:pt idx="6">
                  <c:v>-0.74999999999999989</c:v>
                </c:pt>
                <c:pt idx="7">
                  <c:v>-0.87499999999999989</c:v>
                </c:pt>
                <c:pt idx="8">
                  <c:v>-1</c:v>
                </c:pt>
                <c:pt idx="9">
                  <c:v>-1.125</c:v>
                </c:pt>
                <c:pt idx="10">
                  <c:v>-1.25</c:v>
                </c:pt>
                <c:pt idx="11">
                  <c:v>-1.375</c:v>
                </c:pt>
                <c:pt idx="12">
                  <c:v>-1.5</c:v>
                </c:pt>
              </c:numCache>
            </c:numRef>
          </c:xVal>
          <c:yVal>
            <c:numRef>
              <c:f>'Calculations (ignore)'!$O$13:$AA$13</c:f>
              <c:numCache>
                <c:formatCode>General</c:formatCode>
                <c:ptCount val="13"/>
                <c:pt idx="0">
                  <c:v>-0.22500000000000001</c:v>
                </c:pt>
                <c:pt idx="1">
                  <c:v>-0.23170572916666668</c:v>
                </c:pt>
                <c:pt idx="2">
                  <c:v>-0.25130208333333337</c:v>
                </c:pt>
                <c:pt idx="3">
                  <c:v>-0.28378906250000002</c:v>
                </c:pt>
                <c:pt idx="4">
                  <c:v>-0.32916666666666666</c:v>
                </c:pt>
                <c:pt idx="5">
                  <c:v>-0.38743489583333335</c:v>
                </c:pt>
                <c:pt idx="6">
                  <c:v>-0.45859374999999991</c:v>
                </c:pt>
                <c:pt idx="7">
                  <c:v>-0.54264322916666663</c:v>
                </c:pt>
                <c:pt idx="8">
                  <c:v>-0.63958333333333339</c:v>
                </c:pt>
                <c:pt idx="9">
                  <c:v>-0.74941406250000009</c:v>
                </c:pt>
                <c:pt idx="10">
                  <c:v>-0.87213541666666661</c:v>
                </c:pt>
                <c:pt idx="11">
                  <c:v>-1.0077473958333334</c:v>
                </c:pt>
                <c:pt idx="12">
                  <c:v>-1.15625</c:v>
                </c:pt>
              </c:numCache>
            </c:numRef>
          </c:yVal>
          <c:smooth val="1"/>
        </c:ser>
        <c:ser>
          <c:idx val="19"/>
          <c:order val="19"/>
          <c:tx>
            <c:v>1/4 chord line right</c:v>
          </c:tx>
          <c:spPr>
            <a:ln>
              <a:solidFill>
                <a:schemeClr val="tx1"/>
              </a:solidFill>
              <a:prstDash val="dash"/>
            </a:ln>
          </c:spPr>
          <c:marker>
            <c:symbol val="none"/>
          </c:marker>
          <c:xVal>
            <c:numRef>
              <c:f>'Calculations (ignore)'!$B$3:$N$3</c:f>
              <c:numCache>
                <c:formatCode>General</c:formatCode>
                <c:ptCount val="13"/>
                <c:pt idx="0">
                  <c:v>0</c:v>
                </c:pt>
                <c:pt idx="1">
                  <c:v>0.125</c:v>
                </c:pt>
                <c:pt idx="2">
                  <c:v>0.25</c:v>
                </c:pt>
                <c:pt idx="3">
                  <c:v>0.375</c:v>
                </c:pt>
                <c:pt idx="4">
                  <c:v>0.5</c:v>
                </c:pt>
                <c:pt idx="5">
                  <c:v>0.625</c:v>
                </c:pt>
                <c:pt idx="6">
                  <c:v>0.74999999999999989</c:v>
                </c:pt>
                <c:pt idx="7">
                  <c:v>0.87499999999999989</c:v>
                </c:pt>
                <c:pt idx="8">
                  <c:v>1</c:v>
                </c:pt>
                <c:pt idx="9">
                  <c:v>1.125</c:v>
                </c:pt>
                <c:pt idx="10">
                  <c:v>1.25</c:v>
                </c:pt>
                <c:pt idx="11">
                  <c:v>1.375</c:v>
                </c:pt>
                <c:pt idx="12">
                  <c:v>1.5</c:v>
                </c:pt>
              </c:numCache>
            </c:numRef>
          </c:xVal>
          <c:yVal>
            <c:numRef>
              <c:f>'Calculations (ignore)'!$B$13:$N$13</c:f>
              <c:numCache>
                <c:formatCode>General</c:formatCode>
                <c:ptCount val="13"/>
                <c:pt idx="0">
                  <c:v>-0.22500000000000001</c:v>
                </c:pt>
                <c:pt idx="1">
                  <c:v>-0.23170572916666668</c:v>
                </c:pt>
                <c:pt idx="2">
                  <c:v>-0.25130208333333337</c:v>
                </c:pt>
                <c:pt idx="3">
                  <c:v>-0.28378906250000002</c:v>
                </c:pt>
                <c:pt idx="4">
                  <c:v>-0.32916666666666666</c:v>
                </c:pt>
                <c:pt idx="5">
                  <c:v>-0.38743489583333335</c:v>
                </c:pt>
                <c:pt idx="6">
                  <c:v>-0.45859374999999991</c:v>
                </c:pt>
                <c:pt idx="7">
                  <c:v>-0.54264322916666663</c:v>
                </c:pt>
                <c:pt idx="8">
                  <c:v>-0.63958333333333339</c:v>
                </c:pt>
                <c:pt idx="9">
                  <c:v>-0.74941406250000009</c:v>
                </c:pt>
                <c:pt idx="10">
                  <c:v>-0.87213541666666661</c:v>
                </c:pt>
                <c:pt idx="11">
                  <c:v>-1.0077473958333334</c:v>
                </c:pt>
                <c:pt idx="12">
                  <c:v>-1.15625</c:v>
                </c:pt>
              </c:numCache>
            </c:numRef>
          </c:yVal>
          <c:smooth val="1"/>
        </c:ser>
        <c:ser>
          <c:idx val="20"/>
          <c:order val="20"/>
          <c:tx>
            <c:v>MAC</c:v>
          </c:tx>
          <c:spPr>
            <a:ln w="31750">
              <a:solidFill>
                <a:schemeClr val="accent3"/>
              </a:solidFill>
            </a:ln>
          </c:spPr>
          <c:marker>
            <c:symbol val="none"/>
          </c:marker>
          <c:xVal>
            <c:numRef>
              <c:f>'Calculations (ignore)'!$D$62:$E$62</c:f>
              <c:numCache>
                <c:formatCode>General</c:formatCode>
                <c:ptCount val="2"/>
                <c:pt idx="0">
                  <c:v>-0.71696958298508384</c:v>
                </c:pt>
                <c:pt idx="1">
                  <c:v>-0.71696958298508384</c:v>
                </c:pt>
              </c:numCache>
            </c:numRef>
          </c:xVal>
          <c:yVal>
            <c:numRef>
              <c:f>'Calculations (ignore)'!$D$63:$E$63</c:f>
              <c:numCache>
                <c:formatCode>General</c:formatCode>
                <c:ptCount val="2"/>
                <c:pt idx="0">
                  <c:v>-0.25702269146290252</c:v>
                </c:pt>
                <c:pt idx="1">
                  <c:v>-0.98308155396374652</c:v>
                </c:pt>
              </c:numCache>
            </c:numRef>
          </c:yVal>
          <c:smooth val="1"/>
        </c:ser>
        <c:ser>
          <c:idx val="21"/>
          <c:order val="21"/>
          <c:tx>
            <c:v>CG</c:v>
          </c:tx>
          <c:spPr>
            <a:ln w="38100">
              <a:solidFill>
                <a:srgbClr val="FF0000"/>
              </a:solidFill>
            </a:ln>
          </c:spPr>
          <c:marker>
            <c:symbol val="none"/>
          </c:marker>
          <c:xVal>
            <c:numRef>
              <c:f>'Calculations (ignore)'!$B$71:$C$71</c:f>
              <c:numCache>
                <c:formatCode>General</c:formatCode>
                <c:ptCount val="2"/>
                <c:pt idx="0">
                  <c:v>6.25E-2</c:v>
                </c:pt>
                <c:pt idx="1">
                  <c:v>-6.25E-2</c:v>
                </c:pt>
              </c:numCache>
            </c:numRef>
          </c:xVal>
          <c:yVal>
            <c:numRef>
              <c:f>'Calculations (ignore)'!$B$72:$C$72</c:f>
              <c:numCache>
                <c:formatCode>General</c:formatCode>
                <c:ptCount val="2"/>
                <c:pt idx="0">
                  <c:v>-0.35</c:v>
                </c:pt>
                <c:pt idx="1">
                  <c:v>-0.35</c:v>
                </c:pt>
              </c:numCache>
            </c:numRef>
          </c:yVal>
          <c:smooth val="1"/>
        </c:ser>
        <c:ser>
          <c:idx val="22"/>
          <c:order val="22"/>
          <c:tx>
            <c:v>X NP</c:v>
          </c:tx>
          <c:spPr>
            <a:ln w="34925">
              <a:solidFill>
                <a:srgbClr val="FF0000"/>
              </a:solidFill>
              <a:prstDash val="dash"/>
            </a:ln>
          </c:spPr>
          <c:marker>
            <c:symbol val="none"/>
          </c:marker>
          <c:xVal>
            <c:numRef>
              <c:f>'Calculations (ignore)'!$B$71:$C$71</c:f>
              <c:numCache>
                <c:formatCode>General</c:formatCode>
                <c:ptCount val="2"/>
                <c:pt idx="0">
                  <c:v>6.25E-2</c:v>
                </c:pt>
                <c:pt idx="1">
                  <c:v>-6.25E-2</c:v>
                </c:pt>
              </c:numCache>
            </c:numRef>
          </c:xVal>
          <c:yVal>
            <c:numRef>
              <c:f>'Calculations (ignore)'!$B$75:$C$75</c:f>
              <c:numCache>
                <c:formatCode>General</c:formatCode>
                <c:ptCount val="2"/>
                <c:pt idx="0">
                  <c:v>-0.44625368439633478</c:v>
                </c:pt>
                <c:pt idx="1">
                  <c:v>-0.44625368439633478</c:v>
                </c:pt>
              </c:numCache>
            </c:numRef>
          </c:yVal>
          <c:smooth val="1"/>
        </c:ser>
        <c:ser>
          <c:idx val="23"/>
          <c:order val="23"/>
          <c:tx>
            <c:v>MAC 25%</c:v>
          </c:tx>
          <c:spPr>
            <a:ln w="34925">
              <a:solidFill>
                <a:schemeClr val="accent3"/>
              </a:solidFill>
            </a:ln>
          </c:spPr>
          <c:marker>
            <c:symbol val="none"/>
          </c:marker>
          <c:xVal>
            <c:numRef>
              <c:f>'Calculations (ignore)'!$B$69:$C$69</c:f>
              <c:numCache>
                <c:formatCode>General</c:formatCode>
                <c:ptCount val="2"/>
                <c:pt idx="0">
                  <c:v>-0.65446958298508384</c:v>
                </c:pt>
                <c:pt idx="1">
                  <c:v>-0.77946958298508384</c:v>
                </c:pt>
              </c:numCache>
            </c:numRef>
          </c:xVal>
          <c:yVal>
            <c:numRef>
              <c:f>'Calculations (ignore)'!$B$68:$C$68</c:f>
              <c:numCache>
                <c:formatCode>General</c:formatCode>
                <c:ptCount val="2"/>
                <c:pt idx="0">
                  <c:v>-0.43853740708811351</c:v>
                </c:pt>
                <c:pt idx="1">
                  <c:v>-0.43853740708811351</c:v>
                </c:pt>
              </c:numCache>
            </c:numRef>
          </c:yVal>
          <c:smooth val="1"/>
        </c:ser>
        <c:dLbls>
          <c:showLegendKey val="0"/>
          <c:showVal val="0"/>
          <c:showCatName val="0"/>
          <c:showSerName val="0"/>
          <c:showPercent val="0"/>
          <c:showBubbleSize val="0"/>
        </c:dLbls>
        <c:axId val="99554432"/>
        <c:axId val="99555968"/>
      </c:scatterChart>
      <c:valAx>
        <c:axId val="99554432"/>
        <c:scaling>
          <c:orientation val="minMax"/>
          <c:max val="2"/>
          <c:min val="-2"/>
        </c:scaling>
        <c:delete val="0"/>
        <c:axPos val="b"/>
        <c:majorGridlines/>
        <c:numFmt formatCode="General" sourceLinked="1"/>
        <c:majorTickMark val="out"/>
        <c:minorTickMark val="none"/>
        <c:tickLblPos val="nextTo"/>
        <c:spPr>
          <a:ln>
            <a:solidFill>
              <a:schemeClr val="accent1"/>
            </a:solidFill>
          </a:ln>
        </c:spPr>
        <c:crossAx val="99555968"/>
        <c:crosses val="autoZero"/>
        <c:crossBetween val="midCat"/>
      </c:valAx>
      <c:valAx>
        <c:axId val="99555968"/>
        <c:scaling>
          <c:orientation val="minMax"/>
          <c:max val="0"/>
          <c:min val="-1.5"/>
        </c:scaling>
        <c:delete val="0"/>
        <c:axPos val="l"/>
        <c:majorGridlines/>
        <c:numFmt formatCode="General" sourceLinked="1"/>
        <c:majorTickMark val="out"/>
        <c:minorTickMark val="none"/>
        <c:tickLblPos val="nextTo"/>
        <c:crossAx val="99554432"/>
        <c:crosses val="autoZero"/>
        <c:crossBetween val="midCat"/>
        <c:majorUnit val="0.1"/>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marker>
            <c:symbol val="none"/>
          </c:marker>
          <c:xVal>
            <c:numRef>
              <c:f>'2'!$N$2:$N$31</c:f>
              <c:numCache>
                <c:formatCode>General</c:formatCode>
                <c:ptCount val="30"/>
                <c:pt idx="0">
                  <c:v>903.41427983949109</c:v>
                </c:pt>
                <c:pt idx="1">
                  <c:v>860.97498206537705</c:v>
                </c:pt>
                <c:pt idx="2">
                  <c:v>786.21834584577675</c:v>
                </c:pt>
                <c:pt idx="3">
                  <c:v>711.46250801374458</c:v>
                </c:pt>
                <c:pt idx="4">
                  <c:v>636.92766385322534</c:v>
                </c:pt>
                <c:pt idx="5">
                  <c:v>562.7408584964362</c:v>
                </c:pt>
                <c:pt idx="6">
                  <c:v>488.68957446275647</c:v>
                </c:pt>
                <c:pt idx="7">
                  <c:v>414.5740038825557</c:v>
                </c:pt>
                <c:pt idx="8">
                  <c:v>339.89533311247368</c:v>
                </c:pt>
                <c:pt idx="9">
                  <c:v>264.9854284270275</c:v>
                </c:pt>
                <c:pt idx="10">
                  <c:v>189.58838599467117</c:v>
                </c:pt>
                <c:pt idx="11">
                  <c:v>116.26324106903736</c:v>
                </c:pt>
                <c:pt idx="12">
                  <c:v>51.903379504745736</c:v>
                </c:pt>
                <c:pt idx="13">
                  <c:v>20.669468892019786</c:v>
                </c:pt>
                <c:pt idx="14">
                  <c:v>10.062340581676606</c:v>
                </c:pt>
                <c:pt idx="15">
                  <c:v>7.9154014398174208</c:v>
                </c:pt>
                <c:pt idx="16">
                  <c:v>13.16922327265798</c:v>
                </c:pt>
                <c:pt idx="17">
                  <c:v>34.292514598064756</c:v>
                </c:pt>
                <c:pt idx="18">
                  <c:v>88.88275846829066</c:v>
                </c:pt>
                <c:pt idx="19">
                  <c:v>161.57869170904399</c:v>
                </c:pt>
                <c:pt idx="20">
                  <c:v>237.63734715174064</c:v>
                </c:pt>
                <c:pt idx="21">
                  <c:v>314.43289379723876</c:v>
                </c:pt>
                <c:pt idx="22">
                  <c:v>391.69044600467822</c:v>
                </c:pt>
                <c:pt idx="23">
                  <c:v>469.50502459423342</c:v>
                </c:pt>
                <c:pt idx="24">
                  <c:v>547.51820753238462</c:v>
                </c:pt>
                <c:pt idx="25">
                  <c:v>625.60432075176254</c:v>
                </c:pt>
                <c:pt idx="26">
                  <c:v>703.69720560667236</c:v>
                </c:pt>
                <c:pt idx="27">
                  <c:v>781.87022360000969</c:v>
                </c:pt>
                <c:pt idx="28">
                  <c:v>859.52732858888646</c:v>
                </c:pt>
                <c:pt idx="29">
                  <c:v>903.39087726693072</c:v>
                </c:pt>
              </c:numCache>
            </c:numRef>
          </c:xVal>
          <c:yVal>
            <c:numRef>
              <c:f>'2'!$O$2:$O$31</c:f>
              <c:numCache>
                <c:formatCode>General</c:formatCode>
                <c:ptCount val="30"/>
                <c:pt idx="0">
                  <c:v>-135.01621634296876</c:v>
                </c:pt>
                <c:pt idx="1">
                  <c:v>-123.60005635030362</c:v>
                </c:pt>
                <c:pt idx="2">
                  <c:v>-102.5921493508242</c:v>
                </c:pt>
                <c:pt idx="3">
                  <c:v>-80.127168860045728</c:v>
                </c:pt>
                <c:pt idx="4">
                  <c:v>-56.403441284895663</c:v>
                </c:pt>
                <c:pt idx="5">
                  <c:v>-31.361463774348465</c:v>
                </c:pt>
                <c:pt idx="6">
                  <c:v>-6.2697486428127158</c:v>
                </c:pt>
                <c:pt idx="7">
                  <c:v>16.258247618036354</c:v>
                </c:pt>
                <c:pt idx="8">
                  <c:v>35.128376815255976</c:v>
                </c:pt>
                <c:pt idx="9">
                  <c:v>47.984789154841287</c:v>
                </c:pt>
                <c:pt idx="10">
                  <c:v>54.572213122555212</c:v>
                </c:pt>
                <c:pt idx="11">
                  <c:v>50.846263557770094</c:v>
                </c:pt>
                <c:pt idx="12">
                  <c:v>36.146497306521852</c:v>
                </c:pt>
                <c:pt idx="13">
                  <c:v>18.64242341954446</c:v>
                </c:pt>
                <c:pt idx="14">
                  <c:v>7.2679721951291407</c:v>
                </c:pt>
                <c:pt idx="15">
                  <c:v>-1.7002959003663758</c:v>
                </c:pt>
                <c:pt idx="16">
                  <c:v>-12.821918828478758</c:v>
                </c:pt>
                <c:pt idx="17">
                  <c:v>-27.920870880618864</c:v>
                </c:pt>
                <c:pt idx="18">
                  <c:v>-51.016292393864987</c:v>
                </c:pt>
                <c:pt idx="19">
                  <c:v>-68.769377282031115</c:v>
                </c:pt>
                <c:pt idx="20">
                  <c:v>-82.299099381313312</c:v>
                </c:pt>
                <c:pt idx="21">
                  <c:v>-93.696043192209075</c:v>
                </c:pt>
                <c:pt idx="22">
                  <c:v>-103.05987515999685</c:v>
                </c:pt>
                <c:pt idx="23">
                  <c:v>-110.82690274813882</c:v>
                </c:pt>
                <c:pt idx="24">
                  <c:v>-117.3318029605615</c:v>
                </c:pt>
                <c:pt idx="25">
                  <c:v>-122.61962885325093</c:v>
                </c:pt>
                <c:pt idx="26">
                  <c:v>-127.08152528624994</c:v>
                </c:pt>
                <c:pt idx="27">
                  <c:v>-130.55654372617326</c:v>
                </c:pt>
                <c:pt idx="28">
                  <c:v>-133.45919674788843</c:v>
                </c:pt>
                <c:pt idx="29">
                  <c:v>-135.1746792334356</c:v>
                </c:pt>
              </c:numCache>
            </c:numRef>
          </c:yVal>
          <c:smooth val="1"/>
        </c:ser>
        <c:dLbls>
          <c:showLegendKey val="0"/>
          <c:showVal val="0"/>
          <c:showCatName val="0"/>
          <c:showSerName val="0"/>
          <c:showPercent val="0"/>
          <c:showBubbleSize val="0"/>
        </c:dLbls>
        <c:axId val="106436096"/>
        <c:axId val="106437632"/>
      </c:scatterChart>
      <c:valAx>
        <c:axId val="106436096"/>
        <c:scaling>
          <c:orientation val="minMax"/>
        </c:scaling>
        <c:delete val="0"/>
        <c:axPos val="b"/>
        <c:numFmt formatCode="General" sourceLinked="1"/>
        <c:majorTickMark val="out"/>
        <c:minorTickMark val="none"/>
        <c:tickLblPos val="nextTo"/>
        <c:crossAx val="106437632"/>
        <c:crosses val="autoZero"/>
        <c:crossBetween val="midCat"/>
      </c:valAx>
      <c:valAx>
        <c:axId val="106437632"/>
        <c:scaling>
          <c:orientation val="minMax"/>
        </c:scaling>
        <c:delete val="0"/>
        <c:axPos val="l"/>
        <c:majorGridlines/>
        <c:numFmt formatCode="General" sourceLinked="1"/>
        <c:majorTickMark val="out"/>
        <c:minorTickMark val="none"/>
        <c:tickLblPos val="nextTo"/>
        <c:crossAx val="106436096"/>
        <c:crosses val="autoZero"/>
        <c:crossBetween val="midCat"/>
      </c:valAx>
    </c:plotArea>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marker>
            <c:symbol val="none"/>
          </c:marker>
          <c:xVal>
            <c:numRef>
              <c:f>'3'!$N$2:$N$31</c:f>
              <c:numCache>
                <c:formatCode>General</c:formatCode>
                <c:ptCount val="30"/>
                <c:pt idx="0">
                  <c:v>911.49600489736054</c:v>
                </c:pt>
                <c:pt idx="1">
                  <c:v>870.27903851684869</c:v>
                </c:pt>
                <c:pt idx="2">
                  <c:v>796.68378515528798</c:v>
                </c:pt>
                <c:pt idx="3">
                  <c:v>722.92345100942327</c:v>
                </c:pt>
                <c:pt idx="4">
                  <c:v>649.34050433309142</c:v>
                </c:pt>
                <c:pt idx="5">
                  <c:v>576.05694637110355</c:v>
                </c:pt>
                <c:pt idx="6">
                  <c:v>502.89295805241971</c:v>
                </c:pt>
                <c:pt idx="7">
                  <c:v>429.68303347184525</c:v>
                </c:pt>
                <c:pt idx="8">
                  <c:v>355.99517054142092</c:v>
                </c:pt>
                <c:pt idx="9">
                  <c:v>282.15005048649118</c:v>
                </c:pt>
                <c:pt idx="10">
                  <c:v>207.97014121679888</c:v>
                </c:pt>
                <c:pt idx="11">
                  <c:v>135.96155400446395</c:v>
                </c:pt>
                <c:pt idx="12">
                  <c:v>73.697197348321026</c:v>
                </c:pt>
                <c:pt idx="13">
                  <c:v>43.726166446371103</c:v>
                </c:pt>
                <c:pt idx="14">
                  <c:v>33.390378464068817</c:v>
                </c:pt>
                <c:pt idx="15">
                  <c:v>31.37779251678268</c:v>
                </c:pt>
                <c:pt idx="16">
                  <c:v>36.752125175077495</c:v>
                </c:pt>
                <c:pt idx="17">
                  <c:v>57.511066612846008</c:v>
                </c:pt>
                <c:pt idx="18">
                  <c:v>110.8384061933756</c:v>
                </c:pt>
                <c:pt idx="19">
                  <c:v>182.13996336255005</c:v>
                </c:pt>
                <c:pt idx="20">
                  <c:v>256.8483424343753</c:v>
                </c:pt>
                <c:pt idx="21">
                  <c:v>332.37508063738909</c:v>
                </c:pt>
                <c:pt idx="22">
                  <c:v>408.40211531465945</c:v>
                </c:pt>
                <c:pt idx="23">
                  <c:v>484.98148623494711</c:v>
                </c:pt>
                <c:pt idx="24">
                  <c:v>561.77287863771949</c:v>
                </c:pt>
                <c:pt idx="25">
                  <c:v>638.65045633739521</c:v>
                </c:pt>
                <c:pt idx="26">
                  <c:v>715.54555725763885</c:v>
                </c:pt>
                <c:pt idx="27">
                  <c:v>792.51280352766946</c:v>
                </c:pt>
                <c:pt idx="28">
                  <c:v>868.87164490751559</c:v>
                </c:pt>
                <c:pt idx="29">
                  <c:v>911.45079902052805</c:v>
                </c:pt>
              </c:numCache>
            </c:numRef>
          </c:xVal>
          <c:yVal>
            <c:numRef>
              <c:f>'3'!$O$2:$O$31</c:f>
              <c:numCache>
                <c:formatCode>General</c:formatCode>
                <c:ptCount val="30"/>
                <c:pt idx="0">
                  <c:v>-130.28329339440148</c:v>
                </c:pt>
                <c:pt idx="1">
                  <c:v>-119.30690910449462</c:v>
                </c:pt>
                <c:pt idx="2">
                  <c:v>-98.964896344431068</c:v>
                </c:pt>
                <c:pt idx="3">
                  <c:v>-77.354873410411912</c:v>
                </c:pt>
                <c:pt idx="4">
                  <c:v>-54.688184252218775</c:v>
                </c:pt>
                <c:pt idx="5">
                  <c:v>-30.919307468017028</c:v>
                </c:pt>
                <c:pt idx="6">
                  <c:v>-7.1939129725974382</c:v>
                </c:pt>
                <c:pt idx="7">
                  <c:v>14.130001620244935</c:v>
                </c:pt>
                <c:pt idx="8">
                  <c:v>32.038075660403557</c:v>
                </c:pt>
                <c:pt idx="9">
                  <c:v>44.37284253831622</c:v>
                </c:pt>
                <c:pt idx="10">
                  <c:v>50.819835719843582</c:v>
                </c:pt>
                <c:pt idx="11">
                  <c:v>47.614561665871449</c:v>
                </c:pt>
                <c:pt idx="12">
                  <c:v>34.01709661663952</c:v>
                </c:pt>
                <c:pt idx="13">
                  <c:v>17.735605234322264</c:v>
                </c:pt>
                <c:pt idx="14">
                  <c:v>6.8771477203410933</c:v>
                </c:pt>
                <c:pt idx="15">
                  <c:v>-1.9274111087017898</c:v>
                </c:pt>
                <c:pt idx="16">
                  <c:v>-12.75296687667648</c:v>
                </c:pt>
                <c:pt idx="17">
                  <c:v>-27.35667143340326</c:v>
                </c:pt>
                <c:pt idx="18">
                  <c:v>-49.562369320392712</c:v>
                </c:pt>
                <c:pt idx="19">
                  <c:v>-66.865101056264464</c:v>
                </c:pt>
                <c:pt idx="20">
                  <c:v>-80.045840818874623</c:v>
                </c:pt>
                <c:pt idx="21">
                  <c:v>-91.068403105539474</c:v>
                </c:pt>
                <c:pt idx="22">
                  <c:v>-100.09009405768063</c:v>
                </c:pt>
                <c:pt idx="23">
                  <c:v>-107.54727743923972</c:v>
                </c:pt>
                <c:pt idx="24">
                  <c:v>-113.77117319388458</c:v>
                </c:pt>
                <c:pt idx="25">
                  <c:v>-118.82339511162354</c:v>
                </c:pt>
                <c:pt idx="26">
                  <c:v>-123.06333446356854</c:v>
                </c:pt>
                <c:pt idx="27">
                  <c:v>-126.35217120129764</c:v>
                </c:pt>
                <c:pt idx="28">
                  <c:v>-129.05245637470205</c:v>
                </c:pt>
                <c:pt idx="29">
                  <c:v>-130.59466534767233</c:v>
                </c:pt>
              </c:numCache>
            </c:numRef>
          </c:yVal>
          <c:smooth val="1"/>
        </c:ser>
        <c:dLbls>
          <c:showLegendKey val="0"/>
          <c:showVal val="0"/>
          <c:showCatName val="0"/>
          <c:showSerName val="0"/>
          <c:showPercent val="0"/>
          <c:showBubbleSize val="0"/>
        </c:dLbls>
        <c:axId val="106830464"/>
        <c:axId val="106832256"/>
      </c:scatterChart>
      <c:valAx>
        <c:axId val="106830464"/>
        <c:scaling>
          <c:orientation val="minMax"/>
        </c:scaling>
        <c:delete val="0"/>
        <c:axPos val="b"/>
        <c:numFmt formatCode="General" sourceLinked="1"/>
        <c:majorTickMark val="out"/>
        <c:minorTickMark val="none"/>
        <c:tickLblPos val="nextTo"/>
        <c:crossAx val="106832256"/>
        <c:crosses val="autoZero"/>
        <c:crossBetween val="midCat"/>
      </c:valAx>
      <c:valAx>
        <c:axId val="106832256"/>
        <c:scaling>
          <c:orientation val="minMax"/>
        </c:scaling>
        <c:delete val="0"/>
        <c:axPos val="l"/>
        <c:majorGridlines/>
        <c:numFmt formatCode="General" sourceLinked="1"/>
        <c:majorTickMark val="out"/>
        <c:minorTickMark val="none"/>
        <c:tickLblPos val="nextTo"/>
        <c:crossAx val="106830464"/>
        <c:crosses val="autoZero"/>
        <c:crossBetween val="midCat"/>
      </c:valAx>
    </c:plotArea>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marker>
            <c:symbol val="none"/>
          </c:marker>
          <c:xVal>
            <c:numRef>
              <c:f>'4'!$N$2:$N$31</c:f>
              <c:numCache>
                <c:formatCode>General</c:formatCode>
                <c:ptCount val="30"/>
                <c:pt idx="0">
                  <c:v>924.26308744241021</c:v>
                </c:pt>
                <c:pt idx="1">
                  <c:v>884.74453076429336</c:v>
                </c:pt>
                <c:pt idx="2">
                  <c:v>813.20638992094848</c:v>
                </c:pt>
                <c:pt idx="3">
                  <c:v>741.34525603031716</c:v>
                </c:pt>
                <c:pt idx="4">
                  <c:v>669.61606875895973</c:v>
                </c:pt>
                <c:pt idx="5">
                  <c:v>598.13433668935022</c:v>
                </c:pt>
                <c:pt idx="6">
                  <c:v>526.7561658862528</c:v>
                </c:pt>
                <c:pt idx="7">
                  <c:v>455.35575596912798</c:v>
                </c:pt>
                <c:pt idx="8">
                  <c:v>383.57290460873196</c:v>
                </c:pt>
                <c:pt idx="9">
                  <c:v>311.71790349282264</c:v>
                </c:pt>
                <c:pt idx="10">
                  <c:v>239.69160833862304</c:v>
                </c:pt>
                <c:pt idx="11">
                  <c:v>169.92412973894352</c:v>
                </c:pt>
                <c:pt idx="12">
                  <c:v>110.53492642968598</c:v>
                </c:pt>
                <c:pt idx="13">
                  <c:v>82.212377451113539</c:v>
                </c:pt>
                <c:pt idx="14">
                  <c:v>72.302872408930369</c:v>
                </c:pt>
                <c:pt idx="15">
                  <c:v>70.469393527724321</c:v>
                </c:pt>
                <c:pt idx="16">
                  <c:v>75.913645676244982</c:v>
                </c:pt>
                <c:pt idx="17">
                  <c:v>96.080146409668174</c:v>
                </c:pt>
                <c:pt idx="18">
                  <c:v>147.53372185397058</c:v>
                </c:pt>
                <c:pt idx="19">
                  <c:v>216.5805510163988</c:v>
                </c:pt>
                <c:pt idx="20">
                  <c:v>289.01882237393966</c:v>
                </c:pt>
                <c:pt idx="21">
                  <c:v>362.33558164101311</c:v>
                </c:pt>
                <c:pt idx="22">
                  <c:v>436.17685652420948</c:v>
                </c:pt>
                <c:pt idx="23">
                  <c:v>510.554279314528</c:v>
                </c:pt>
                <c:pt idx="24">
                  <c:v>585.15033294608918</c:v>
                </c:pt>
                <c:pt idx="25">
                  <c:v>659.84104015044989</c:v>
                </c:pt>
                <c:pt idx="26">
                  <c:v>734.55707298705238</c:v>
                </c:pt>
                <c:pt idx="27">
                  <c:v>809.33423318551877</c:v>
                </c:pt>
                <c:pt idx="28">
                  <c:v>883.4214150193709</c:v>
                </c:pt>
                <c:pt idx="29">
                  <c:v>924.199748238967</c:v>
                </c:pt>
              </c:numCache>
            </c:numRef>
          </c:xVal>
          <c:yVal>
            <c:numRef>
              <c:f>'4'!$O$2:$O$31</c:f>
              <c:numCache>
                <c:formatCode>General</c:formatCode>
                <c:ptCount val="30"/>
                <c:pt idx="0">
                  <c:v>-121.52739905616762</c:v>
                </c:pt>
                <c:pt idx="1">
                  <c:v>-111.23318171871017</c:v>
                </c:pt>
                <c:pt idx="2">
                  <c:v>-92.013844030388071</c:v>
                </c:pt>
                <c:pt idx="3">
                  <c:v>-71.725880888752769</c:v>
                </c:pt>
                <c:pt idx="4">
                  <c:v>-50.588138233538608</c:v>
                </c:pt>
                <c:pt idx="5">
                  <c:v>-28.568719930457245</c:v>
                </c:pt>
                <c:pt idx="6">
                  <c:v>-6.680626112698949</c:v>
                </c:pt>
                <c:pt idx="7">
                  <c:v>12.994043796623661</c:v>
                </c:pt>
                <c:pt idx="8">
                  <c:v>29.530328956021375</c:v>
                </c:pt>
                <c:pt idx="9">
                  <c:v>40.990610225381872</c:v>
                </c:pt>
                <c:pt idx="10">
                  <c:v>47.008606658155003</c:v>
                </c:pt>
                <c:pt idx="11">
                  <c:v>44.145763231878227</c:v>
                </c:pt>
                <c:pt idx="12">
                  <c:v>31.623938058473481</c:v>
                </c:pt>
                <c:pt idx="13">
                  <c:v>16.657096524986116</c:v>
                </c:pt>
                <c:pt idx="14">
                  <c:v>6.4141624986877996</c:v>
                </c:pt>
                <c:pt idx="15">
                  <c:v>-2.1158401481652369</c:v>
                </c:pt>
                <c:pt idx="16">
                  <c:v>-12.491340915536728</c:v>
                </c:pt>
                <c:pt idx="17">
                  <c:v>-26.361736262106831</c:v>
                </c:pt>
                <c:pt idx="18">
                  <c:v>-47.264938595569426</c:v>
                </c:pt>
                <c:pt idx="19">
                  <c:v>-63.701088010061341</c:v>
                </c:pt>
                <c:pt idx="20">
                  <c:v>-76.159382567060391</c:v>
                </c:pt>
                <c:pt idx="21">
                  <c:v>-86.462660650788521</c:v>
                </c:pt>
                <c:pt idx="22">
                  <c:v>-94.82209538701683</c:v>
                </c:pt>
                <c:pt idx="23">
                  <c:v>-101.66815260304931</c:v>
                </c:pt>
                <c:pt idx="24">
                  <c:v>-107.32495849371561</c:v>
                </c:pt>
                <c:pt idx="25">
                  <c:v>-111.86937990083759</c:v>
                </c:pt>
                <c:pt idx="26">
                  <c:v>-115.62577317158903</c:v>
                </c:pt>
                <c:pt idx="27">
                  <c:v>-118.47830158858724</c:v>
                </c:pt>
                <c:pt idx="28">
                  <c:v>-120.73760046940927</c:v>
                </c:pt>
                <c:pt idx="29">
                  <c:v>-121.98015223965965</c:v>
                </c:pt>
              </c:numCache>
            </c:numRef>
          </c:yVal>
          <c:smooth val="1"/>
        </c:ser>
        <c:dLbls>
          <c:showLegendKey val="0"/>
          <c:showVal val="0"/>
          <c:showCatName val="0"/>
          <c:showSerName val="0"/>
          <c:showPercent val="0"/>
          <c:showBubbleSize val="0"/>
        </c:dLbls>
        <c:axId val="106864640"/>
        <c:axId val="106866176"/>
      </c:scatterChart>
      <c:valAx>
        <c:axId val="106864640"/>
        <c:scaling>
          <c:orientation val="minMax"/>
        </c:scaling>
        <c:delete val="0"/>
        <c:axPos val="b"/>
        <c:numFmt formatCode="General" sourceLinked="1"/>
        <c:majorTickMark val="out"/>
        <c:minorTickMark val="none"/>
        <c:tickLblPos val="nextTo"/>
        <c:crossAx val="106866176"/>
        <c:crosses val="autoZero"/>
        <c:crossBetween val="midCat"/>
      </c:valAx>
      <c:valAx>
        <c:axId val="106866176"/>
        <c:scaling>
          <c:orientation val="minMax"/>
        </c:scaling>
        <c:delete val="0"/>
        <c:axPos val="l"/>
        <c:majorGridlines/>
        <c:numFmt formatCode="General" sourceLinked="1"/>
        <c:majorTickMark val="out"/>
        <c:minorTickMark val="none"/>
        <c:tickLblPos val="nextTo"/>
        <c:crossAx val="106864640"/>
        <c:crosses val="autoZero"/>
        <c:crossBetween val="midCat"/>
      </c:valAx>
    </c:plotArea>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marker>
            <c:symbol val="none"/>
          </c:marker>
          <c:xVal>
            <c:numRef>
              <c:f>'5'!$N$2:$N$31</c:f>
              <c:numCache>
                <c:formatCode>General</c:formatCode>
                <c:ptCount val="30"/>
                <c:pt idx="0">
                  <c:v>941.71479174563183</c:v>
                </c:pt>
                <c:pt idx="1">
                  <c:v>904.35416256081862</c:v>
                </c:pt>
                <c:pt idx="2">
                  <c:v>835.77707737446508</c:v>
                </c:pt>
                <c:pt idx="3">
                  <c:v>766.73489659827658</c:v>
                </c:pt>
                <c:pt idx="4">
                  <c:v>697.78047107857196</c:v>
                </c:pt>
                <c:pt idx="5">
                  <c:v>629.0215873721836</c:v>
                </c:pt>
                <c:pt idx="6">
                  <c:v>560.35134616750065</c:v>
                </c:pt>
                <c:pt idx="7">
                  <c:v>491.68571930319979</c:v>
                </c:pt>
                <c:pt idx="8">
                  <c:v>422.73831332037304</c:v>
                </c:pt>
                <c:pt idx="9">
                  <c:v>353.80833181312335</c:v>
                </c:pt>
                <c:pt idx="10">
                  <c:v>284.87252834914409</c:v>
                </c:pt>
                <c:pt idx="11">
                  <c:v>218.25987383247093</c:v>
                </c:pt>
                <c:pt idx="12">
                  <c:v>162.47371556429124</c:v>
                </c:pt>
                <c:pt idx="13">
                  <c:v>136.14434643125281</c:v>
                </c:pt>
                <c:pt idx="14">
                  <c:v>126.80654954824328</c:v>
                </c:pt>
                <c:pt idx="15">
                  <c:v>125.1903606373198</c:v>
                </c:pt>
                <c:pt idx="16">
                  <c:v>130.64224248736681</c:v>
                </c:pt>
                <c:pt idx="17">
                  <c:v>149.98359555731028</c:v>
                </c:pt>
                <c:pt idx="18">
                  <c:v>198.95836406597971</c:v>
                </c:pt>
                <c:pt idx="19">
                  <c:v>264.89403669483568</c:v>
                </c:pt>
                <c:pt idx="20">
                  <c:v>334.14404063313316</c:v>
                </c:pt>
                <c:pt idx="21">
                  <c:v>404.3079931476056</c:v>
                </c:pt>
                <c:pt idx="22">
                  <c:v>475.00545192088811</c:v>
                </c:pt>
                <c:pt idx="23">
                  <c:v>546.2117231498778</c:v>
                </c:pt>
                <c:pt idx="24">
                  <c:v>617.63621465450251</c:v>
                </c:pt>
                <c:pt idx="25">
                  <c:v>689.15900974553404</c:v>
                </c:pt>
                <c:pt idx="26">
                  <c:v>760.71180865243548</c:v>
                </c:pt>
                <c:pt idx="27">
                  <c:v>832.31235847141659</c:v>
                </c:pt>
                <c:pt idx="28">
                  <c:v>903.15611818843365</c:v>
                </c:pt>
                <c:pt idx="29">
                  <c:v>941.6388047788447</c:v>
                </c:pt>
              </c:numCache>
            </c:numRef>
          </c:xVal>
          <c:yVal>
            <c:numRef>
              <c:f>'5'!$O$2:$O$31</c:f>
              <c:numCache>
                <c:formatCode>General</c:formatCode>
                <c:ptCount val="30"/>
                <c:pt idx="0">
                  <c:v>-109.14233766932568</c:v>
                </c:pt>
                <c:pt idx="1">
                  <c:v>-99.744961184936756</c:v>
                </c:pt>
                <c:pt idx="2">
                  <c:v>-82.067527937644712</c:v>
                </c:pt>
                <c:pt idx="3">
                  <c:v>-63.525654964348981</c:v>
                </c:pt>
                <c:pt idx="4">
                  <c:v>-44.338798166060769</c:v>
                </c:pt>
                <c:pt idx="5">
                  <c:v>-24.487874518774028</c:v>
                </c:pt>
                <c:pt idx="6">
                  <c:v>-4.8472596700947443</c:v>
                </c:pt>
                <c:pt idx="7">
                  <c:v>12.788947193878835</c:v>
                </c:pt>
                <c:pt idx="8">
                  <c:v>27.592796440445841</c:v>
                </c:pt>
                <c:pt idx="9">
                  <c:v>37.861329930152429</c:v>
                </c:pt>
                <c:pt idx="10">
                  <c:v>43.186846083079068</c:v>
                </c:pt>
                <c:pt idx="11">
                  <c:v>40.493107467038485</c:v>
                </c:pt>
                <c:pt idx="12">
                  <c:v>29.011585615611821</c:v>
                </c:pt>
                <c:pt idx="13">
                  <c:v>15.427462937543963</c:v>
                </c:pt>
                <c:pt idx="14">
                  <c:v>5.8892973162646669</c:v>
                </c:pt>
                <c:pt idx="15">
                  <c:v>-2.2556843710930323</c:v>
                </c:pt>
                <c:pt idx="16">
                  <c:v>-12.033127967437677</c:v>
                </c:pt>
                <c:pt idx="17">
                  <c:v>-24.950194526597649</c:v>
                </c:pt>
                <c:pt idx="18">
                  <c:v>-44.179984230424076</c:v>
                </c:pt>
                <c:pt idx="19">
                  <c:v>-59.365293930254985</c:v>
                </c:pt>
                <c:pt idx="20">
                  <c:v>-70.758282667632855</c:v>
                </c:pt>
                <c:pt idx="21">
                  <c:v>-80.029691437153389</c:v>
                </c:pt>
                <c:pt idx="22">
                  <c:v>-87.438716432003858</c:v>
                </c:pt>
                <c:pt idx="23">
                  <c:v>-93.404043893384639</c:v>
                </c:pt>
                <c:pt idx="24">
                  <c:v>-98.238838378346188</c:v>
                </c:pt>
                <c:pt idx="25">
                  <c:v>-102.0332181839614</c:v>
                </c:pt>
                <c:pt idx="26">
                  <c:v>-105.07426155632598</c:v>
                </c:pt>
                <c:pt idx="27">
                  <c:v>-107.26932892507024</c:v>
                </c:pt>
                <c:pt idx="28">
                  <c:v>-108.87943709050099</c:v>
                </c:pt>
                <c:pt idx="29">
                  <c:v>-109.71903238657151</c:v>
                </c:pt>
              </c:numCache>
            </c:numRef>
          </c:yVal>
          <c:smooth val="1"/>
        </c:ser>
        <c:dLbls>
          <c:showLegendKey val="0"/>
          <c:showVal val="0"/>
          <c:showCatName val="0"/>
          <c:showSerName val="0"/>
          <c:showPercent val="0"/>
          <c:showBubbleSize val="0"/>
        </c:dLbls>
        <c:axId val="106755200"/>
        <c:axId val="106756736"/>
      </c:scatterChart>
      <c:valAx>
        <c:axId val="106755200"/>
        <c:scaling>
          <c:orientation val="minMax"/>
        </c:scaling>
        <c:delete val="0"/>
        <c:axPos val="b"/>
        <c:numFmt formatCode="General" sourceLinked="1"/>
        <c:majorTickMark val="out"/>
        <c:minorTickMark val="none"/>
        <c:tickLblPos val="nextTo"/>
        <c:crossAx val="106756736"/>
        <c:crosses val="autoZero"/>
        <c:crossBetween val="midCat"/>
      </c:valAx>
      <c:valAx>
        <c:axId val="106756736"/>
        <c:scaling>
          <c:orientation val="minMax"/>
        </c:scaling>
        <c:delete val="0"/>
        <c:axPos val="l"/>
        <c:majorGridlines/>
        <c:numFmt formatCode="General" sourceLinked="1"/>
        <c:majorTickMark val="out"/>
        <c:minorTickMark val="none"/>
        <c:tickLblPos val="nextTo"/>
        <c:crossAx val="106755200"/>
        <c:crosses val="autoZero"/>
        <c:crossBetween val="midCat"/>
      </c:valAx>
    </c:plotArea>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marker>
            <c:symbol val="none"/>
          </c:marker>
          <c:xVal>
            <c:numRef>
              <c:f>'6'!$N$2:$N$31</c:f>
              <c:numCache>
                <c:formatCode>General</c:formatCode>
                <c:ptCount val="30"/>
                <c:pt idx="0">
                  <c:v>963.85058417027415</c:v>
                </c:pt>
                <c:pt idx="1">
                  <c:v>929.09166579633029</c:v>
                </c:pt>
                <c:pt idx="2">
                  <c:v>864.38936692030529</c:v>
                </c:pt>
                <c:pt idx="3">
                  <c:v>799.10335475544287</c:v>
                </c:pt>
                <c:pt idx="4">
                  <c:v>733.86504458082186</c:v>
                </c:pt>
                <c:pt idx="5">
                  <c:v>668.77347351616243</c:v>
                </c:pt>
                <c:pt idx="6">
                  <c:v>603.75765015479283</c:v>
                </c:pt>
                <c:pt idx="7">
                  <c:v>538.77405137905453</c:v>
                </c:pt>
                <c:pt idx="8">
                  <c:v>473.60906571089697</c:v>
                </c:pt>
                <c:pt idx="9">
                  <c:v>408.54854277576413</c:v>
                </c:pt>
                <c:pt idx="10">
                  <c:v>343.63995765091664</c:v>
                </c:pt>
                <c:pt idx="11">
                  <c:v>281.08371576101638</c:v>
                </c:pt>
                <c:pt idx="12">
                  <c:v>229.57479790742622</c:v>
                </c:pt>
                <c:pt idx="13">
                  <c:v>205.54075856077435</c:v>
                </c:pt>
                <c:pt idx="14">
                  <c:v>196.90893351489711</c:v>
                </c:pt>
                <c:pt idx="15">
                  <c:v>195.53992343618754</c:v>
                </c:pt>
                <c:pt idx="16">
                  <c:v>200.92374445593759</c:v>
                </c:pt>
                <c:pt idx="17">
                  <c:v>219.20075665324833</c:v>
                </c:pt>
                <c:pt idx="18">
                  <c:v>265.09534288004289</c:v>
                </c:pt>
                <c:pt idx="19">
                  <c:v>327.06588625736049</c:v>
                </c:pt>
                <c:pt idx="20">
                  <c:v>392.21052678439838</c:v>
                </c:pt>
                <c:pt idx="21">
                  <c:v>458.27718896893253</c:v>
                </c:pt>
                <c:pt idx="22">
                  <c:v>524.87038860007601</c:v>
                </c:pt>
                <c:pt idx="23">
                  <c:v>591.93458035304059</c:v>
                </c:pt>
                <c:pt idx="24">
                  <c:v>659.20958684048605</c:v>
                </c:pt>
                <c:pt idx="25">
                  <c:v>726.58188058597761</c:v>
                </c:pt>
                <c:pt idx="26">
                  <c:v>793.98572176973221</c:v>
                </c:pt>
                <c:pt idx="27">
                  <c:v>861.42239590318457</c:v>
                </c:pt>
                <c:pt idx="28">
                  <c:v>928.0541980878404</c:v>
                </c:pt>
                <c:pt idx="29">
                  <c:v>963.76884118666601</c:v>
                </c:pt>
              </c:numCache>
            </c:numRef>
          </c:xVal>
          <c:yVal>
            <c:numRef>
              <c:f>'6'!$O$2:$O$31</c:f>
              <c:numCache>
                <c:formatCode>General</c:formatCode>
                <c:ptCount val="30"/>
                <c:pt idx="0">
                  <c:v>-93.70638355804131</c:v>
                </c:pt>
                <c:pt idx="1">
                  <c:v>-85.385089768823633</c:v>
                </c:pt>
                <c:pt idx="2">
                  <c:v>-69.615018465541027</c:v>
                </c:pt>
                <c:pt idx="3">
                  <c:v>-53.183621285572947</c:v>
                </c:pt>
                <c:pt idx="4">
                  <c:v>-36.303079709215901</c:v>
                </c:pt>
                <c:pt idx="5">
                  <c:v>-18.965882020913927</c:v>
                </c:pt>
                <c:pt idx="6">
                  <c:v>-1.9057146099904549</c:v>
                </c:pt>
                <c:pt idx="7">
                  <c:v>13.375079530749744</c:v>
                </c:pt>
                <c:pt idx="8">
                  <c:v>26.151113907494697</c:v>
                </c:pt>
                <c:pt idx="9">
                  <c:v>34.96219760066618</c:v>
                </c:pt>
                <c:pt idx="10">
                  <c:v>39.3724078747506</c:v>
                </c:pt>
                <c:pt idx="11">
                  <c:v>36.693986487251991</c:v>
                </c:pt>
                <c:pt idx="12">
                  <c:v>26.218944241830659</c:v>
                </c:pt>
                <c:pt idx="13">
                  <c:v>14.065755832575308</c:v>
                </c:pt>
                <c:pt idx="14">
                  <c:v>5.3127783333897325</c:v>
                </c:pt>
                <c:pt idx="15">
                  <c:v>-2.3374763832512673</c:v>
                </c:pt>
                <c:pt idx="16">
                  <c:v>-11.377024049566074</c:v>
                </c:pt>
                <c:pt idx="17">
                  <c:v>-23.143722779140585</c:v>
                </c:pt>
                <c:pt idx="18">
                  <c:v>-40.382097831317566</c:v>
                </c:pt>
                <c:pt idx="19">
                  <c:v>-53.979367632454341</c:v>
                </c:pt>
                <c:pt idx="20">
                  <c:v>-64.01055656119631</c:v>
                </c:pt>
                <c:pt idx="21">
                  <c:v>-71.985779788837547</c:v>
                </c:pt>
                <c:pt idx="22">
                  <c:v>-78.204229141294363</c:v>
                </c:pt>
                <c:pt idx="23">
                  <c:v>-83.066953297402165</c:v>
                </c:pt>
                <c:pt idx="24">
                  <c:v>-86.872037879128669</c:v>
                </c:pt>
                <c:pt idx="25">
                  <c:v>-89.720145251453403</c:v>
                </c:pt>
                <c:pt idx="26">
                  <c:v>-91.859850150555005</c:v>
                </c:pt>
                <c:pt idx="27">
                  <c:v>-93.22126180600749</c:v>
                </c:pt>
                <c:pt idx="28">
                  <c:v>-94.019958718691797</c:v>
                </c:pt>
                <c:pt idx="29">
                  <c:v>-94.383762217937843</c:v>
                </c:pt>
              </c:numCache>
            </c:numRef>
          </c:yVal>
          <c:smooth val="1"/>
        </c:ser>
        <c:dLbls>
          <c:showLegendKey val="0"/>
          <c:showVal val="0"/>
          <c:showCatName val="0"/>
          <c:showSerName val="0"/>
          <c:showPercent val="0"/>
          <c:showBubbleSize val="0"/>
        </c:dLbls>
        <c:axId val="106584320"/>
        <c:axId val="106590208"/>
      </c:scatterChart>
      <c:valAx>
        <c:axId val="106584320"/>
        <c:scaling>
          <c:orientation val="minMax"/>
        </c:scaling>
        <c:delete val="0"/>
        <c:axPos val="b"/>
        <c:numFmt formatCode="General" sourceLinked="1"/>
        <c:majorTickMark val="out"/>
        <c:minorTickMark val="none"/>
        <c:tickLblPos val="nextTo"/>
        <c:crossAx val="106590208"/>
        <c:crosses val="autoZero"/>
        <c:crossBetween val="midCat"/>
      </c:valAx>
      <c:valAx>
        <c:axId val="106590208"/>
        <c:scaling>
          <c:orientation val="minMax"/>
        </c:scaling>
        <c:delete val="0"/>
        <c:axPos val="l"/>
        <c:majorGridlines/>
        <c:numFmt formatCode="General" sourceLinked="1"/>
        <c:majorTickMark val="out"/>
        <c:minorTickMark val="none"/>
        <c:tickLblPos val="nextTo"/>
        <c:crossAx val="106584320"/>
        <c:crosses val="autoZero"/>
        <c:crossBetween val="midCat"/>
      </c:valAx>
    </c:plotArea>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marker>
            <c:symbol val="none"/>
          </c:marker>
          <c:xVal>
            <c:numRef>
              <c:f>'7'!$N$2:$N$31</c:f>
              <c:numCache>
                <c:formatCode>General</c:formatCode>
                <c:ptCount val="30"/>
                <c:pt idx="0">
                  <c:v>990.67020239569968</c:v>
                </c:pt>
                <c:pt idx="1">
                  <c:v>958.94183793289176</c:v>
                </c:pt>
                <c:pt idx="2">
                  <c:v>899.03934370448792</c:v>
                </c:pt>
                <c:pt idx="3">
                  <c:v>838.46533147613673</c:v>
                </c:pt>
                <c:pt idx="4">
                  <c:v>777.90562065263828</c:v>
                </c:pt>
                <c:pt idx="5">
                  <c:v>717.44964281312218</c:v>
                </c:pt>
                <c:pt idx="6">
                  <c:v>657.05917063984725</c:v>
                </c:pt>
                <c:pt idx="7">
                  <c:v>596.72678773700852</c:v>
                </c:pt>
                <c:pt idx="8">
                  <c:v>536.30760889121802</c:v>
                </c:pt>
                <c:pt idx="9">
                  <c:v>476.07036589818836</c:v>
                </c:pt>
                <c:pt idx="10">
                  <c:v>416.12515915809001</c:v>
                </c:pt>
                <c:pt idx="11">
                  <c:v>358.51407266491259</c:v>
                </c:pt>
                <c:pt idx="12">
                  <c:v>311.90197953567349</c:v>
                </c:pt>
                <c:pt idx="13">
                  <c:v>290.42221144448064</c:v>
                </c:pt>
                <c:pt idx="14">
                  <c:v>282.61810522083249</c:v>
                </c:pt>
                <c:pt idx="15">
                  <c:v>281.51612527033058</c:v>
                </c:pt>
                <c:pt idx="16">
                  <c:v>286.74115789087006</c:v>
                </c:pt>
                <c:pt idx="17">
                  <c:v>303.70639443329242</c:v>
                </c:pt>
                <c:pt idx="18">
                  <c:v>345.92116020597467</c:v>
                </c:pt>
                <c:pt idx="19">
                  <c:v>403.07348703894246</c:v>
                </c:pt>
                <c:pt idx="20">
                  <c:v>463.19602424280822</c:v>
                </c:pt>
                <c:pt idx="21">
                  <c:v>524.21924414649061</c:v>
                </c:pt>
                <c:pt idx="22">
                  <c:v>585.74578761232488</c:v>
                </c:pt>
                <c:pt idx="23">
                  <c:v>647.695994844388</c:v>
                </c:pt>
                <c:pt idx="24">
                  <c:v>709.84288014424465</c:v>
                </c:pt>
                <c:pt idx="25">
                  <c:v>772.08168964375955</c:v>
                </c:pt>
                <c:pt idx="26">
                  <c:v>834.35061659405051</c:v>
                </c:pt>
                <c:pt idx="27">
                  <c:v>896.6368646969587</c:v>
                </c:pt>
                <c:pt idx="28">
                  <c:v>958.0929967746963</c:v>
                </c:pt>
                <c:pt idx="29">
                  <c:v>990.59043346211195</c:v>
                </c:pt>
              </c:numCache>
            </c:numRef>
          </c:xVal>
          <c:yVal>
            <c:numRef>
              <c:f>'7'!$O$2:$O$31</c:f>
              <c:numCache>
                <c:formatCode>General</c:formatCode>
                <c:ptCount val="30"/>
                <c:pt idx="0">
                  <c:v>-75.9803431992502</c:v>
                </c:pt>
                <c:pt idx="1">
                  <c:v>-68.871912574498694</c:v>
                </c:pt>
                <c:pt idx="2">
                  <c:v>-55.304865367453992</c:v>
                </c:pt>
                <c:pt idx="3">
                  <c:v>-41.272211176207811</c:v>
                </c:pt>
                <c:pt idx="4">
                  <c:v>-26.970492104916371</c:v>
                </c:pt>
                <c:pt idx="5">
                  <c:v>-12.402124443718996</c:v>
                </c:pt>
                <c:pt idx="6">
                  <c:v>1.838069557687479</c:v>
                </c:pt>
                <c:pt idx="7">
                  <c:v>14.534969130863344</c:v>
                </c:pt>
                <c:pt idx="8">
                  <c:v>25.069159156058632</c:v>
                </c:pt>
                <c:pt idx="9">
                  <c:v>32.22464026028927</c:v>
                </c:pt>
                <c:pt idx="10">
                  <c:v>35.552977369411174</c:v>
                </c:pt>
                <c:pt idx="11">
                  <c:v>32.770407216619638</c:v>
                </c:pt>
                <c:pt idx="12">
                  <c:v>23.279210596761732</c:v>
                </c:pt>
                <c:pt idx="13">
                  <c:v>12.589253436930539</c:v>
                </c:pt>
                <c:pt idx="14">
                  <c:v>4.6946749931385421</c:v>
                </c:pt>
                <c:pt idx="15">
                  <c:v>-2.3522606608007517</c:v>
                </c:pt>
                <c:pt idx="16">
                  <c:v>-10.524454080965734</c:v>
                </c:pt>
                <c:pt idx="17">
                  <c:v>-20.971412235048959</c:v>
                </c:pt>
                <c:pt idx="18">
                  <c:v>-35.963611290975933</c:v>
                </c:pt>
                <c:pt idx="19">
                  <c:v>-47.69740772136165</c:v>
                </c:pt>
                <c:pt idx="20">
                  <c:v>-56.132223216483872</c:v>
                </c:pt>
                <c:pt idx="21">
                  <c:v>-62.611056980951616</c:v>
                </c:pt>
                <c:pt idx="22">
                  <c:v>-67.462741755606388</c:v>
                </c:pt>
                <c:pt idx="23">
                  <c:v>-71.064761085437766</c:v>
                </c:pt>
                <c:pt idx="24">
                  <c:v>-73.695744838198607</c:v>
                </c:pt>
                <c:pt idx="25">
                  <c:v>-75.46347657002525</c:v>
                </c:pt>
                <c:pt idx="26">
                  <c:v>-76.577783441676402</c:v>
                </c:pt>
                <c:pt idx="27">
                  <c:v>-76.99038228983278</c:v>
                </c:pt>
                <c:pt idx="28">
                  <c:v>-76.876995156426176</c:v>
                </c:pt>
                <c:pt idx="29">
                  <c:v>-76.729446192622802</c:v>
                </c:pt>
              </c:numCache>
            </c:numRef>
          </c:yVal>
          <c:smooth val="1"/>
        </c:ser>
        <c:dLbls>
          <c:showLegendKey val="0"/>
          <c:showVal val="0"/>
          <c:showCatName val="0"/>
          <c:showSerName val="0"/>
          <c:showPercent val="0"/>
          <c:showBubbleSize val="0"/>
        </c:dLbls>
        <c:axId val="106065280"/>
        <c:axId val="106083456"/>
      </c:scatterChart>
      <c:valAx>
        <c:axId val="106065280"/>
        <c:scaling>
          <c:orientation val="minMax"/>
        </c:scaling>
        <c:delete val="0"/>
        <c:axPos val="b"/>
        <c:numFmt formatCode="General" sourceLinked="1"/>
        <c:majorTickMark val="out"/>
        <c:minorTickMark val="none"/>
        <c:tickLblPos val="nextTo"/>
        <c:crossAx val="106083456"/>
        <c:crosses val="autoZero"/>
        <c:crossBetween val="midCat"/>
      </c:valAx>
      <c:valAx>
        <c:axId val="106083456"/>
        <c:scaling>
          <c:orientation val="minMax"/>
        </c:scaling>
        <c:delete val="0"/>
        <c:axPos val="l"/>
        <c:majorGridlines/>
        <c:numFmt formatCode="General" sourceLinked="1"/>
        <c:majorTickMark val="out"/>
        <c:minorTickMark val="none"/>
        <c:tickLblPos val="nextTo"/>
        <c:crossAx val="106065280"/>
        <c:crosses val="autoZero"/>
        <c:crossBetween val="midCat"/>
      </c:valAx>
    </c:plotArea>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marker>
            <c:symbol val="none"/>
          </c:marker>
          <c:xVal>
            <c:numRef>
              <c:f>'8'!$N$2:$N$31</c:f>
              <c:numCache>
                <c:formatCode>General</c:formatCode>
                <c:ptCount val="30"/>
                <c:pt idx="0">
                  <c:v>1022.1737287468287</c:v>
                </c:pt>
                <c:pt idx="1">
                  <c:v>993.89059941617404</c:v>
                </c:pt>
                <c:pt idx="2">
                  <c:v>939.72567236238081</c:v>
                </c:pt>
                <c:pt idx="3">
                  <c:v>884.83903370134044</c:v>
                </c:pt>
                <c:pt idx="4">
                  <c:v>829.94190630706908</c:v>
                </c:pt>
                <c:pt idx="5">
                  <c:v>775.11338721917582</c:v>
                </c:pt>
                <c:pt idx="6">
                  <c:v>720.34300978579404</c:v>
                </c:pt>
                <c:pt idx="7">
                  <c:v>665.65233795300787</c:v>
                </c:pt>
                <c:pt idx="8">
                  <c:v>610.95819857310994</c:v>
                </c:pt>
                <c:pt idx="9">
                  <c:v>556.50715467911903</c:v>
                </c:pt>
                <c:pt idx="10">
                  <c:v>502.46062575969597</c:v>
                </c:pt>
                <c:pt idx="11">
                  <c:v>450.67042216295977</c:v>
                </c:pt>
                <c:pt idx="12">
                  <c:v>409.52020257980053</c:v>
                </c:pt>
                <c:pt idx="13">
                  <c:v>390.81073253418378</c:v>
                </c:pt>
                <c:pt idx="14">
                  <c:v>383.94247833441648</c:v>
                </c:pt>
                <c:pt idx="15">
                  <c:v>383.11554491388955</c:v>
                </c:pt>
                <c:pt idx="16">
                  <c:v>388.07442152686008</c:v>
                </c:pt>
                <c:pt idx="17">
                  <c:v>403.4705297146748</c:v>
                </c:pt>
                <c:pt idx="18">
                  <c:v>441.40582216660709</c:v>
                </c:pt>
                <c:pt idx="19">
                  <c:v>492.88602876223115</c:v>
                </c:pt>
                <c:pt idx="20">
                  <c:v>547.06925943480189</c:v>
                </c:pt>
                <c:pt idx="21">
                  <c:v>602.10118993398578</c:v>
                </c:pt>
                <c:pt idx="22">
                  <c:v>657.59717260916773</c:v>
                </c:pt>
                <c:pt idx="23">
                  <c:v>713.46128366046992</c:v>
                </c:pt>
                <c:pt idx="24">
                  <c:v>769.50171412860016</c:v>
                </c:pt>
                <c:pt idx="25">
                  <c:v>825.62483405959006</c:v>
                </c:pt>
                <c:pt idx="26">
                  <c:v>881.77400984501173</c:v>
                </c:pt>
                <c:pt idx="27">
                  <c:v>937.92546783876321</c:v>
                </c:pt>
                <c:pt idx="28">
                  <c:v>993.24866846201712</c:v>
                </c:pt>
                <c:pt idx="29">
                  <c:v>1022.1037675569678</c:v>
                </c:pt>
              </c:numCache>
            </c:numRef>
          </c:xVal>
          <c:yVal>
            <c:numRef>
              <c:f>'8'!$O$2:$O$31</c:f>
              <c:numCache>
                <c:formatCode>General</c:formatCode>
                <c:ptCount val="30"/>
                <c:pt idx="0">
                  <c:v>-56.908008590383282</c:v>
                </c:pt>
                <c:pt idx="1">
                  <c:v>-51.100317607351229</c:v>
                </c:pt>
                <c:pt idx="2">
                  <c:v>-39.946159039196445</c:v>
                </c:pt>
                <c:pt idx="3">
                  <c:v>-28.507835001731959</c:v>
                </c:pt>
                <c:pt idx="4">
                  <c:v>-16.958042665826341</c:v>
                </c:pt>
                <c:pt idx="5">
                  <c:v>-5.3071109174537607</c:v>
                </c:pt>
                <c:pt idx="6">
                  <c:v>5.9833005116989346</c:v>
                </c:pt>
                <c:pt idx="7">
                  <c:v>15.972581755500208</c:v>
                </c:pt>
                <c:pt idx="8">
                  <c:v>24.148443011677401</c:v>
                </c:pt>
                <c:pt idx="9">
                  <c:v>29.533920276371092</c:v>
                </c:pt>
                <c:pt idx="10">
                  <c:v>31.685904981038831</c:v>
                </c:pt>
                <c:pt idx="11">
                  <c:v>28.729180722920752</c:v>
                </c:pt>
                <c:pt idx="12">
                  <c:v>20.219706817846586</c:v>
                </c:pt>
                <c:pt idx="13">
                  <c:v>11.013150041486057</c:v>
                </c:pt>
                <c:pt idx="14">
                  <c:v>4.0447892142169719</c:v>
                </c:pt>
                <c:pt idx="15">
                  <c:v>-2.2916469483896682</c:v>
                </c:pt>
                <c:pt idx="16">
                  <c:v>-9.4796529295396113</c:v>
                </c:pt>
                <c:pt idx="17">
                  <c:v>-18.469626443335706</c:v>
                </c:pt>
                <c:pt idx="18">
                  <c:v>-31.033837132282386</c:v>
                </c:pt>
                <c:pt idx="19">
                  <c:v>-40.704990276864031</c:v>
                </c:pt>
                <c:pt idx="20">
                  <c:v>-47.386309634880412</c:v>
                </c:pt>
                <c:pt idx="21">
                  <c:v>-52.248601864594725</c:v>
                </c:pt>
                <c:pt idx="22">
                  <c:v>-55.637476404798967</c:v>
                </c:pt>
                <c:pt idx="23">
                  <c:v>-57.900714310853083</c:v>
                </c:pt>
                <c:pt idx="24">
                  <c:v>-59.29284907181696</c:v>
                </c:pt>
                <c:pt idx="25">
                  <c:v>-59.924637496373663</c:v>
                </c:pt>
                <c:pt idx="26">
                  <c:v>-59.967844479974936</c:v>
                </c:pt>
                <c:pt idx="27">
                  <c:v>-59.393919056459715</c:v>
                </c:pt>
                <c:pt idx="28">
                  <c:v>-58.345115019231599</c:v>
                </c:pt>
                <c:pt idx="29">
                  <c:v>-57.694297795682054</c:v>
                </c:pt>
              </c:numCache>
            </c:numRef>
          </c:yVal>
          <c:smooth val="1"/>
        </c:ser>
        <c:dLbls>
          <c:showLegendKey val="0"/>
          <c:showVal val="0"/>
          <c:showCatName val="0"/>
          <c:showSerName val="0"/>
          <c:showPercent val="0"/>
          <c:showBubbleSize val="0"/>
        </c:dLbls>
        <c:axId val="107369216"/>
        <c:axId val="107370752"/>
      </c:scatterChart>
      <c:valAx>
        <c:axId val="107369216"/>
        <c:scaling>
          <c:orientation val="minMax"/>
        </c:scaling>
        <c:delete val="0"/>
        <c:axPos val="b"/>
        <c:numFmt formatCode="General" sourceLinked="1"/>
        <c:majorTickMark val="out"/>
        <c:minorTickMark val="none"/>
        <c:tickLblPos val="nextTo"/>
        <c:crossAx val="107370752"/>
        <c:crosses val="autoZero"/>
        <c:crossBetween val="midCat"/>
      </c:valAx>
      <c:valAx>
        <c:axId val="107370752"/>
        <c:scaling>
          <c:orientation val="minMax"/>
        </c:scaling>
        <c:delete val="0"/>
        <c:axPos val="l"/>
        <c:majorGridlines/>
        <c:numFmt formatCode="General" sourceLinked="1"/>
        <c:majorTickMark val="out"/>
        <c:minorTickMark val="none"/>
        <c:tickLblPos val="nextTo"/>
        <c:crossAx val="107369216"/>
        <c:crosses val="autoZero"/>
        <c:crossBetween val="midCat"/>
      </c:valAx>
    </c:plotArea>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marker>
            <c:symbol val="none"/>
          </c:marker>
          <c:xVal>
            <c:numRef>
              <c:f>'9'!$N$2:$N$31</c:f>
              <c:numCache>
                <c:formatCode>General</c:formatCode>
                <c:ptCount val="30"/>
                <c:pt idx="0">
                  <c:v>1058.3616720278719</c:v>
                </c:pt>
                <c:pt idx="1">
                  <c:v>1033.9250913374069</c:v>
                </c:pt>
                <c:pt idx="2">
                  <c:v>986.44971138239453</c:v>
                </c:pt>
                <c:pt idx="3">
                  <c:v>938.24611413077196</c:v>
                </c:pt>
                <c:pt idx="4">
                  <c:v>890.01705731441325</c:v>
                </c:pt>
                <c:pt idx="5">
                  <c:v>841.83064297225405</c:v>
                </c:pt>
                <c:pt idx="6">
                  <c:v>793.69759893904006</c:v>
                </c:pt>
                <c:pt idx="7">
                  <c:v>745.65922054633893</c:v>
                </c:pt>
                <c:pt idx="8">
                  <c:v>697.68420594956478</c:v>
                </c:pt>
                <c:pt idx="9">
                  <c:v>649.99096243327483</c:v>
                </c:pt>
                <c:pt idx="10">
                  <c:v>602.77735784360834</c:v>
                </c:pt>
                <c:pt idx="11">
                  <c:v>557.6710846020103</c:v>
                </c:pt>
                <c:pt idx="12">
                  <c:v>522.4942523536314</c:v>
                </c:pt>
                <c:pt idx="13">
                  <c:v>506.72938618300702</c:v>
                </c:pt>
                <c:pt idx="14">
                  <c:v>500.89060337081094</c:v>
                </c:pt>
                <c:pt idx="15">
                  <c:v>500.33297980334203</c:v>
                </c:pt>
                <c:pt idx="16">
                  <c:v>504.90005763314241</c:v>
                </c:pt>
                <c:pt idx="17">
                  <c:v>518.45809802242934</c:v>
                </c:pt>
                <c:pt idx="18">
                  <c:v>551.51259483094839</c:v>
                </c:pt>
                <c:pt idx="19">
                  <c:v>596.46406990138007</c:v>
                </c:pt>
                <c:pt idx="20">
                  <c:v>643.78937187583813</c:v>
                </c:pt>
                <c:pt idx="21">
                  <c:v>691.8804296135736</c:v>
                </c:pt>
                <c:pt idx="22">
                  <c:v>740.38091595502885</c:v>
                </c:pt>
                <c:pt idx="23">
                  <c:v>789.18743496635261</c:v>
                </c:pt>
                <c:pt idx="24">
                  <c:v>838.14446279853348</c:v>
                </c:pt>
                <c:pt idx="25">
                  <c:v>887.17169888445756</c:v>
                </c:pt>
                <c:pt idx="26">
                  <c:v>936.21883688952016</c:v>
                </c:pt>
                <c:pt idx="27">
                  <c:v>985.25487048497848</c:v>
                </c:pt>
                <c:pt idx="28">
                  <c:v>1033.4960524770941</c:v>
                </c:pt>
                <c:pt idx="29">
                  <c:v>1058.3085369756118</c:v>
                </c:pt>
              </c:numCache>
            </c:numRef>
          </c:xVal>
          <c:yVal>
            <c:numRef>
              <c:f>'9'!$O$2:$O$31</c:f>
              <c:numCache>
                <c:formatCode>General</c:formatCode>
                <c:ptCount val="30"/>
                <c:pt idx="0">
                  <c:v>-37.623345124355346</c:v>
                </c:pt>
                <c:pt idx="1">
                  <c:v>-33.14923104772415</c:v>
                </c:pt>
                <c:pt idx="2">
                  <c:v>-24.515499632491341</c:v>
                </c:pt>
                <c:pt idx="3">
                  <c:v>-15.757191203002755</c:v>
                </c:pt>
                <c:pt idx="4">
                  <c:v>-7.015888382532312</c:v>
                </c:pt>
                <c:pt idx="5">
                  <c:v>1.6925246448933842</c:v>
                </c:pt>
                <c:pt idx="6">
                  <c:v>10.029992312234373</c:v>
                </c:pt>
                <c:pt idx="7">
                  <c:v>17.309681611129879</c:v>
                </c:pt>
                <c:pt idx="8">
                  <c:v>23.125187623054419</c:v>
                </c:pt>
                <c:pt idx="9">
                  <c:v>26.727011388621108</c:v>
                </c:pt>
                <c:pt idx="10">
                  <c:v>27.69688191107835</c:v>
                </c:pt>
                <c:pt idx="11">
                  <c:v>24.561482082784142</c:v>
                </c:pt>
                <c:pt idx="12">
                  <c:v>17.061472074813611</c:v>
                </c:pt>
                <c:pt idx="13">
                  <c:v>9.3501544506724485</c:v>
                </c:pt>
                <c:pt idx="14">
                  <c:v>3.3725353360796952</c:v>
                </c:pt>
                <c:pt idx="15">
                  <c:v>-2.1478323208920016</c:v>
                </c:pt>
                <c:pt idx="16">
                  <c:v>-8.2497429443639518</c:v>
                </c:pt>
                <c:pt idx="17">
                  <c:v>-15.681991062991546</c:v>
                </c:pt>
                <c:pt idx="18">
                  <c:v>-25.718812276179346</c:v>
                </c:pt>
                <c:pt idx="19">
                  <c:v>-33.21920602402075</c:v>
                </c:pt>
                <c:pt idx="20">
                  <c:v>-38.083416367855349</c:v>
                </c:pt>
                <c:pt idx="21">
                  <c:v>-41.305681006412108</c:v>
                </c:pt>
                <c:pt idx="22">
                  <c:v>-43.232779234814757</c:v>
                </c:pt>
                <c:pt idx="23">
                  <c:v>-44.176250712063265</c:v>
                </c:pt>
                <c:pt idx="24">
                  <c:v>-44.361626305828104</c:v>
                </c:pt>
                <c:pt idx="25">
                  <c:v>-43.897750431794357</c:v>
                </c:pt>
                <c:pt idx="26">
                  <c:v>-42.919873452528563</c:v>
                </c:pt>
                <c:pt idx="27">
                  <c:v>-41.416512669828123</c:v>
                </c:pt>
                <c:pt idx="28">
                  <c:v>-39.502930976742888</c:v>
                </c:pt>
                <c:pt idx="29">
                  <c:v>-38.40681567999637</c:v>
                </c:pt>
              </c:numCache>
            </c:numRef>
          </c:yVal>
          <c:smooth val="1"/>
        </c:ser>
        <c:dLbls>
          <c:showLegendKey val="0"/>
          <c:showVal val="0"/>
          <c:showCatName val="0"/>
          <c:showSerName val="0"/>
          <c:showPercent val="0"/>
          <c:showBubbleSize val="0"/>
        </c:dLbls>
        <c:axId val="107431808"/>
        <c:axId val="107433344"/>
      </c:scatterChart>
      <c:valAx>
        <c:axId val="107431808"/>
        <c:scaling>
          <c:orientation val="minMax"/>
        </c:scaling>
        <c:delete val="0"/>
        <c:axPos val="b"/>
        <c:numFmt formatCode="General" sourceLinked="1"/>
        <c:majorTickMark val="out"/>
        <c:minorTickMark val="none"/>
        <c:tickLblPos val="nextTo"/>
        <c:crossAx val="107433344"/>
        <c:crosses val="autoZero"/>
        <c:crossBetween val="midCat"/>
      </c:valAx>
      <c:valAx>
        <c:axId val="107433344"/>
        <c:scaling>
          <c:orientation val="minMax"/>
        </c:scaling>
        <c:delete val="0"/>
        <c:axPos val="l"/>
        <c:majorGridlines/>
        <c:numFmt formatCode="General" sourceLinked="1"/>
        <c:majorTickMark val="out"/>
        <c:minorTickMark val="none"/>
        <c:tickLblPos val="nextTo"/>
        <c:crossAx val="107431808"/>
        <c:crosses val="autoZero"/>
        <c:crossBetween val="midCat"/>
      </c:valAx>
    </c:plotArea>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marker>
            <c:symbol val="none"/>
          </c:marker>
          <c:xVal>
            <c:numRef>
              <c:f>'10'!$N$2:$N$31</c:f>
              <c:numCache>
                <c:formatCode>General</c:formatCode>
                <c:ptCount val="30"/>
                <c:pt idx="0">
                  <c:v>1099.2350679131191</c:v>
                </c:pt>
                <c:pt idx="1">
                  <c:v>1079.0338589747278</c:v>
                </c:pt>
                <c:pt idx="2">
                  <c:v>1039.2158412722263</c:v>
                </c:pt>
                <c:pt idx="3">
                  <c:v>998.71193404076655</c:v>
                </c:pt>
                <c:pt idx="4">
                  <c:v>958.17766260614542</c:v>
                </c:pt>
                <c:pt idx="5">
                  <c:v>917.66946735470651</c:v>
                </c:pt>
                <c:pt idx="6">
                  <c:v>877.21154062667154</c:v>
                </c:pt>
                <c:pt idx="7">
                  <c:v>836.85435114113432</c:v>
                </c:pt>
                <c:pt idx="8">
                  <c:v>796.60599156411388</c:v>
                </c:pt>
                <c:pt idx="9">
                  <c:v>756.65027933458146</c:v>
                </c:pt>
                <c:pt idx="10">
                  <c:v>717.2026604065303</c:v>
                </c:pt>
                <c:pt idx="11">
                  <c:v>679.63143380709084</c:v>
                </c:pt>
                <c:pt idx="12">
                  <c:v>650.88776065739182</c:v>
                </c:pt>
                <c:pt idx="13">
                  <c:v>638.20206784301865</c:v>
                </c:pt>
                <c:pt idx="14">
                  <c:v>633.47103104496477</c:v>
                </c:pt>
                <c:pt idx="15">
                  <c:v>633.16104575332781</c:v>
                </c:pt>
                <c:pt idx="16">
                  <c:v>637.19060088105095</c:v>
                </c:pt>
                <c:pt idx="17">
                  <c:v>648.62823472174659</c:v>
                </c:pt>
                <c:pt idx="18">
                  <c:v>676.19721496359591</c:v>
                </c:pt>
                <c:pt idx="19">
                  <c:v>713.7584351375433</c:v>
                </c:pt>
                <c:pt idx="20">
                  <c:v>753.30462245813555</c:v>
                </c:pt>
                <c:pt idx="21">
                  <c:v>793.50343226702921</c:v>
                </c:pt>
                <c:pt idx="22">
                  <c:v>834.04299821345512</c:v>
                </c:pt>
                <c:pt idx="23">
                  <c:v>874.82198063910027</c:v>
                </c:pt>
                <c:pt idx="24">
                  <c:v>915.72127550820994</c:v>
                </c:pt>
                <c:pt idx="25">
                  <c:v>956.67583573999354</c:v>
                </c:pt>
                <c:pt idx="26">
                  <c:v>997.64281814905576</c:v>
                </c:pt>
                <c:pt idx="27">
                  <c:v>1038.5882594867112</c:v>
                </c:pt>
                <c:pt idx="28">
                  <c:v>1078.8084589504522</c:v>
                </c:pt>
                <c:pt idx="29">
                  <c:v>1099.2026800794818</c:v>
                </c:pt>
              </c:numCache>
            </c:numRef>
          </c:xVal>
          <c:yVal>
            <c:numRef>
              <c:f>'10'!$O$2:$O$31</c:f>
              <c:numCache>
                <c:formatCode>General</c:formatCode>
                <c:ptCount val="30"/>
                <c:pt idx="0">
                  <c:v>-19.473382365562838</c:v>
                </c:pt>
                <c:pt idx="1">
                  <c:v>-16.304177613731238</c:v>
                </c:pt>
                <c:pt idx="2">
                  <c:v>-10.177718147069262</c:v>
                </c:pt>
                <c:pt idx="3">
                  <c:v>-4.0559630524436603</c:v>
                </c:pt>
                <c:pt idx="4">
                  <c:v>1.9560125436562872</c:v>
                </c:pt>
                <c:pt idx="5">
                  <c:v>7.8394371356548627</c:v>
                </c:pt>
                <c:pt idx="6">
                  <c:v>13.366459480303682</c:v>
                </c:pt>
                <c:pt idx="7">
                  <c:v>18.07544245422249</c:v>
                </c:pt>
                <c:pt idx="8">
                  <c:v>21.662054269376643</c:v>
                </c:pt>
                <c:pt idx="9">
                  <c:v>23.586491186223217</c:v>
                </c:pt>
                <c:pt idx="10">
                  <c:v>23.475965038502391</c:v>
                </c:pt>
                <c:pt idx="11">
                  <c:v>20.241001938963137</c:v>
                </c:pt>
                <c:pt idx="12">
                  <c:v>13.818321835600452</c:v>
                </c:pt>
                <c:pt idx="13">
                  <c:v>7.6099012396312045</c:v>
                </c:pt>
                <c:pt idx="14">
                  <c:v>2.686802794806908</c:v>
                </c:pt>
                <c:pt idx="15">
                  <c:v>-1.913590486481878</c:v>
                </c:pt>
                <c:pt idx="16">
                  <c:v>-6.8448883650698011</c:v>
                </c:pt>
                <c:pt idx="17">
                  <c:v>-12.659809124240219</c:v>
                </c:pt>
                <c:pt idx="18">
                  <c:v>-20.162345026940201</c:v>
                </c:pt>
                <c:pt idx="19">
                  <c:v>-25.49121182607092</c:v>
                </c:pt>
                <c:pt idx="20">
                  <c:v>-28.586101733392415</c:v>
                </c:pt>
                <c:pt idx="21">
                  <c:v>-30.260161064760862</c:v>
                </c:pt>
                <c:pt idx="22">
                  <c:v>-30.842682278858288</c:v>
                </c:pt>
                <c:pt idx="23">
                  <c:v>-30.60177015270926</c:v>
                </c:pt>
                <c:pt idx="24">
                  <c:v>-29.728776330820985</c:v>
                </c:pt>
                <c:pt idx="25">
                  <c:v>-28.324988590419004</c:v>
                </c:pt>
                <c:pt idx="26">
                  <c:v>-26.491470862749782</c:v>
                </c:pt>
                <c:pt idx="27">
                  <c:v>-24.230284700138853</c:v>
                </c:pt>
                <c:pt idx="28">
                  <c:v>-21.635403146349077</c:v>
                </c:pt>
                <c:pt idx="29">
                  <c:v>-20.235479094038798</c:v>
                </c:pt>
              </c:numCache>
            </c:numRef>
          </c:yVal>
          <c:smooth val="1"/>
        </c:ser>
        <c:dLbls>
          <c:showLegendKey val="0"/>
          <c:showVal val="0"/>
          <c:showCatName val="0"/>
          <c:showSerName val="0"/>
          <c:showPercent val="0"/>
          <c:showBubbleSize val="0"/>
        </c:dLbls>
        <c:axId val="107473920"/>
        <c:axId val="107475712"/>
      </c:scatterChart>
      <c:valAx>
        <c:axId val="107473920"/>
        <c:scaling>
          <c:orientation val="minMax"/>
        </c:scaling>
        <c:delete val="0"/>
        <c:axPos val="b"/>
        <c:numFmt formatCode="General" sourceLinked="1"/>
        <c:majorTickMark val="out"/>
        <c:minorTickMark val="none"/>
        <c:tickLblPos val="nextTo"/>
        <c:crossAx val="107475712"/>
        <c:crosses val="autoZero"/>
        <c:crossBetween val="midCat"/>
      </c:valAx>
      <c:valAx>
        <c:axId val="107475712"/>
        <c:scaling>
          <c:orientation val="minMax"/>
        </c:scaling>
        <c:delete val="0"/>
        <c:axPos val="l"/>
        <c:majorGridlines/>
        <c:numFmt formatCode="General" sourceLinked="1"/>
        <c:majorTickMark val="out"/>
        <c:minorTickMark val="none"/>
        <c:tickLblPos val="nextTo"/>
        <c:crossAx val="107473920"/>
        <c:crosses val="autoZero"/>
        <c:crossBetween val="midCat"/>
      </c:valAx>
    </c:plotArea>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marker>
            <c:symbol val="none"/>
          </c:marker>
          <c:xVal>
            <c:numRef>
              <c:f>'11'!$N$2:$N$31</c:f>
              <c:numCache>
                <c:formatCode>General</c:formatCode>
                <c:ptCount val="30"/>
                <c:pt idx="0">
                  <c:v>1144.7956245006098</c:v>
                </c:pt>
                <c:pt idx="1">
                  <c:v>1129.2072439639048</c:v>
                </c:pt>
                <c:pt idx="2">
                  <c:v>1098.0323119488123</c:v>
                </c:pt>
                <c:pt idx="3">
                  <c:v>1066.2666102632825</c:v>
                </c:pt>
                <c:pt idx="4">
                  <c:v>1034.4747265928102</c:v>
                </c:pt>
                <c:pt idx="5">
                  <c:v>1002.70067155257</c:v>
                </c:pt>
                <c:pt idx="6">
                  <c:v>970.97371605596254</c:v>
                </c:pt>
                <c:pt idx="7">
                  <c:v>939.34267077074378</c:v>
                </c:pt>
                <c:pt idx="8">
                  <c:v>907.84015209350457</c:v>
                </c:pt>
                <c:pt idx="9">
                  <c:v>876.60912816265659</c:v>
                </c:pt>
                <c:pt idx="10">
                  <c:v>845.85919795299878</c:v>
                </c:pt>
                <c:pt idx="11">
                  <c:v>816.66314516208456</c:v>
                </c:pt>
                <c:pt idx="12">
                  <c:v>794.76292639443864</c:v>
                </c:pt>
                <c:pt idx="13">
                  <c:v>785.25375208092839</c:v>
                </c:pt>
                <c:pt idx="14">
                  <c:v>781.69231923889447</c:v>
                </c:pt>
                <c:pt idx="15">
                  <c:v>781.58957348045863</c:v>
                </c:pt>
                <c:pt idx="16">
                  <c:v>784.91348718505685</c:v>
                </c:pt>
                <c:pt idx="17">
                  <c:v>793.93265292226704</c:v>
                </c:pt>
                <c:pt idx="18">
                  <c:v>815.40577733392684</c:v>
                </c:pt>
                <c:pt idx="19">
                  <c:v>844.70748825530131</c:v>
                </c:pt>
                <c:pt idx="20">
                  <c:v>875.54934861009497</c:v>
                </c:pt>
                <c:pt idx="21">
                  <c:v>906.90267277994838</c:v>
                </c:pt>
                <c:pt idx="22">
                  <c:v>938.51609989833355</c:v>
                </c:pt>
                <c:pt idx="23">
                  <c:v>970.30034975970636</c:v>
                </c:pt>
                <c:pt idx="24">
                  <c:v>1002.1717750731971</c:v>
                </c:pt>
                <c:pt idx="25">
                  <c:v>1034.082050698722</c:v>
                </c:pt>
                <c:pt idx="26">
                  <c:v>1065.9970002047698</c:v>
                </c:pt>
                <c:pt idx="27">
                  <c:v>1097.8843712286359</c:v>
                </c:pt>
                <c:pt idx="28">
                  <c:v>1129.1572424612332</c:v>
                </c:pt>
                <c:pt idx="29">
                  <c:v>1144.7879144344865</c:v>
                </c:pt>
              </c:numCache>
            </c:numRef>
          </c:xVal>
          <c:yVal>
            <c:numRef>
              <c:f>'11'!$O$2:$O$31</c:f>
              <c:numCache>
                <c:formatCode>General</c:formatCode>
                <c:ptCount val="30"/>
                <c:pt idx="0">
                  <c:v>-4.0794700151756818</c:v>
                </c:pt>
                <c:pt idx="1">
                  <c:v>-2.1166728119534319</c:v>
                </c:pt>
                <c:pt idx="2">
                  <c:v>1.6598145051985671</c:v>
                </c:pt>
                <c:pt idx="3">
                  <c:v>5.3422538141029774</c:v>
                </c:pt>
                <c:pt idx="4">
                  <c:v>8.864410834704751</c:v>
                </c:pt>
                <c:pt idx="5">
                  <c:v>12.207571076359084</c:v>
                </c:pt>
                <c:pt idx="6">
                  <c:v>15.236839728595292</c:v>
                </c:pt>
                <c:pt idx="7">
                  <c:v>17.679514929468834</c:v>
                </c:pt>
                <c:pt idx="8">
                  <c:v>19.326724897295961</c:v>
                </c:pt>
                <c:pt idx="9">
                  <c:v>19.824629807315819</c:v>
                </c:pt>
                <c:pt idx="10">
                  <c:v>18.867065179339239</c:v>
                </c:pt>
                <c:pt idx="11">
                  <c:v>15.718633792069399</c:v>
                </c:pt>
                <c:pt idx="12">
                  <c:v>10.494584972831474</c:v>
                </c:pt>
                <c:pt idx="13">
                  <c:v>5.7979069237936489</c:v>
                </c:pt>
                <c:pt idx="14">
                  <c:v>1.9957709001715132</c:v>
                </c:pt>
                <c:pt idx="15">
                  <c:v>-1.5822340202332141</c:v>
                </c:pt>
                <c:pt idx="16">
                  <c:v>-5.2787361933798458</c:v>
                </c:pt>
                <c:pt idx="17">
                  <c:v>-9.4636411430076741</c:v>
                </c:pt>
                <c:pt idx="18">
                  <c:v>-14.530366115647242</c:v>
                </c:pt>
                <c:pt idx="19">
                  <c:v>-17.815078178091053</c:v>
                </c:pt>
                <c:pt idx="20">
                  <c:v>-19.322771187185019</c:v>
                </c:pt>
                <c:pt idx="21">
                  <c:v>-19.679739837048864</c:v>
                </c:pt>
                <c:pt idx="22">
                  <c:v>-19.17565318445822</c:v>
                </c:pt>
                <c:pt idx="23">
                  <c:v>-18.026996184829969</c:v>
                </c:pt>
                <c:pt idx="24">
                  <c:v>-16.385476183314864</c:v>
                </c:pt>
                <c:pt idx="25">
                  <c:v>-14.338382744304399</c:v>
                </c:pt>
                <c:pt idx="26">
                  <c:v>-11.955601860910759</c:v>
                </c:pt>
                <c:pt idx="27">
                  <c:v>-9.2482573279288154</c:v>
                </c:pt>
                <c:pt idx="28">
                  <c:v>-6.2928687435183539</c:v>
                </c:pt>
                <c:pt idx="29">
                  <c:v>-4.7157146491731972</c:v>
                </c:pt>
              </c:numCache>
            </c:numRef>
          </c:yVal>
          <c:smooth val="1"/>
        </c:ser>
        <c:dLbls>
          <c:showLegendKey val="0"/>
          <c:showVal val="0"/>
          <c:showCatName val="0"/>
          <c:showSerName val="0"/>
          <c:showPercent val="0"/>
          <c:showBubbleSize val="0"/>
        </c:dLbls>
        <c:axId val="107630976"/>
        <c:axId val="107632512"/>
      </c:scatterChart>
      <c:valAx>
        <c:axId val="107630976"/>
        <c:scaling>
          <c:orientation val="minMax"/>
        </c:scaling>
        <c:delete val="0"/>
        <c:axPos val="b"/>
        <c:numFmt formatCode="General" sourceLinked="1"/>
        <c:majorTickMark val="out"/>
        <c:minorTickMark val="none"/>
        <c:tickLblPos val="nextTo"/>
        <c:crossAx val="107632512"/>
        <c:crosses val="autoZero"/>
        <c:crossBetween val="midCat"/>
      </c:valAx>
      <c:valAx>
        <c:axId val="107632512"/>
        <c:scaling>
          <c:orientation val="minMax"/>
        </c:scaling>
        <c:delete val="0"/>
        <c:axPos val="l"/>
        <c:majorGridlines/>
        <c:numFmt formatCode="General" sourceLinked="1"/>
        <c:majorTickMark val="out"/>
        <c:minorTickMark val="none"/>
        <c:tickLblPos val="nextTo"/>
        <c:crossAx val="107630976"/>
        <c:crosses val="autoZero"/>
        <c:crossBetween val="midCat"/>
      </c:valAx>
    </c:plotArea>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Gamma</a:t>
            </a:r>
          </a:p>
        </c:rich>
      </c:tx>
      <c:layout>
        <c:manualLayout>
          <c:xMode val="edge"/>
          <c:yMode val="edge"/>
          <c:x val="3.4870704923839903E-2"/>
          <c:y val="4.3956043956043959E-2"/>
        </c:manualLayout>
      </c:layout>
      <c:overlay val="1"/>
    </c:title>
    <c:autoTitleDeleted val="0"/>
    <c:plotArea>
      <c:layout/>
      <c:scatterChart>
        <c:scatterStyle val="smoothMarker"/>
        <c:varyColors val="0"/>
        <c:ser>
          <c:idx val="0"/>
          <c:order val="0"/>
          <c:tx>
            <c:v>Gamma</c:v>
          </c:tx>
          <c:marker>
            <c:symbol val="none"/>
          </c:marker>
          <c:xVal>
            <c:numRef>
              <c:f>'Calculations (ignore)'!$B$3:$N$3</c:f>
              <c:numCache>
                <c:formatCode>General</c:formatCode>
                <c:ptCount val="13"/>
                <c:pt idx="0">
                  <c:v>0</c:v>
                </c:pt>
                <c:pt idx="1">
                  <c:v>0.125</c:v>
                </c:pt>
                <c:pt idx="2">
                  <c:v>0.25</c:v>
                </c:pt>
                <c:pt idx="3">
                  <c:v>0.375</c:v>
                </c:pt>
                <c:pt idx="4">
                  <c:v>0.5</c:v>
                </c:pt>
                <c:pt idx="5">
                  <c:v>0.625</c:v>
                </c:pt>
                <c:pt idx="6">
                  <c:v>0.74999999999999989</c:v>
                </c:pt>
                <c:pt idx="7">
                  <c:v>0.87499999999999989</c:v>
                </c:pt>
                <c:pt idx="8">
                  <c:v>1</c:v>
                </c:pt>
                <c:pt idx="9">
                  <c:v>1.125</c:v>
                </c:pt>
                <c:pt idx="10">
                  <c:v>1.25</c:v>
                </c:pt>
                <c:pt idx="11">
                  <c:v>1.375</c:v>
                </c:pt>
                <c:pt idx="12">
                  <c:v>1.5</c:v>
                </c:pt>
              </c:numCache>
            </c:numRef>
          </c:xVal>
          <c:yVal>
            <c:numRef>
              <c:f>'Calculations (ignore)'!$B$28:$N$28</c:f>
              <c:numCache>
                <c:formatCode>General</c:formatCode>
                <c:ptCount val="13"/>
                <c:pt idx="0">
                  <c:v>3.1465951089983171</c:v>
                </c:pt>
                <c:pt idx="1">
                  <c:v>3.1138750472169159</c:v>
                </c:pt>
                <c:pt idx="2">
                  <c:v>3.016401712259619</c:v>
                </c:pt>
                <c:pt idx="3">
                  <c:v>2.8562602627519205</c:v>
                </c:pt>
                <c:pt idx="4">
                  <c:v>2.6370118390768988</c:v>
                </c:pt>
                <c:pt idx="5">
                  <c:v>2.3638372234147149</c:v>
                </c:pt>
                <c:pt idx="6">
                  <c:v>2.0437734748623053</c:v>
                </c:pt>
                <c:pt idx="7">
                  <c:v>1.6860969122163736</c:v>
                </c:pt>
                <c:pt idx="8">
                  <c:v>1.3029630669238144</c:v>
                </c:pt>
                <c:pt idx="9">
                  <c:v>0.9105587022680014</c:v>
                </c:pt>
                <c:pt idx="10">
                  <c:v>0.53146679991140522</c:v>
                </c:pt>
                <c:pt idx="11">
                  <c:v>0.20085788214191119</c:v>
                </c:pt>
                <c:pt idx="12">
                  <c:v>0</c:v>
                </c:pt>
              </c:numCache>
            </c:numRef>
          </c:yVal>
          <c:smooth val="1"/>
        </c:ser>
        <c:ser>
          <c:idx val="1"/>
          <c:order val="1"/>
          <c:tx>
            <c:v>Gamma left</c:v>
          </c:tx>
          <c:spPr>
            <a:ln>
              <a:solidFill>
                <a:schemeClr val="accent1"/>
              </a:solidFill>
            </a:ln>
          </c:spPr>
          <c:marker>
            <c:symbol val="none"/>
          </c:marker>
          <c:xVal>
            <c:numRef>
              <c:f>'Calculations (ignore)'!$O$3:$AA$3</c:f>
              <c:numCache>
                <c:formatCode>General</c:formatCode>
                <c:ptCount val="13"/>
                <c:pt idx="0">
                  <c:v>0</c:v>
                </c:pt>
                <c:pt idx="1">
                  <c:v>-0.125</c:v>
                </c:pt>
                <c:pt idx="2">
                  <c:v>-0.25</c:v>
                </c:pt>
                <c:pt idx="3">
                  <c:v>-0.375</c:v>
                </c:pt>
                <c:pt idx="4">
                  <c:v>-0.5</c:v>
                </c:pt>
                <c:pt idx="5">
                  <c:v>-0.625</c:v>
                </c:pt>
                <c:pt idx="6">
                  <c:v>-0.74999999999999989</c:v>
                </c:pt>
                <c:pt idx="7">
                  <c:v>-0.87499999999999989</c:v>
                </c:pt>
                <c:pt idx="8">
                  <c:v>-1</c:v>
                </c:pt>
                <c:pt idx="9">
                  <c:v>-1.125</c:v>
                </c:pt>
                <c:pt idx="10">
                  <c:v>-1.25</c:v>
                </c:pt>
                <c:pt idx="11">
                  <c:v>-1.375</c:v>
                </c:pt>
                <c:pt idx="12">
                  <c:v>-1.5</c:v>
                </c:pt>
              </c:numCache>
            </c:numRef>
          </c:xVal>
          <c:yVal>
            <c:numRef>
              <c:f>'Calculations (ignore)'!$O$28:$AA$28</c:f>
              <c:numCache>
                <c:formatCode>General</c:formatCode>
                <c:ptCount val="13"/>
                <c:pt idx="0">
                  <c:v>3.1465951089983171</c:v>
                </c:pt>
                <c:pt idx="1">
                  <c:v>3.1138750472169159</c:v>
                </c:pt>
                <c:pt idx="2">
                  <c:v>3.016401712259619</c:v>
                </c:pt>
                <c:pt idx="3">
                  <c:v>2.8562602627519205</c:v>
                </c:pt>
                <c:pt idx="4">
                  <c:v>2.6370118390768988</c:v>
                </c:pt>
                <c:pt idx="5">
                  <c:v>2.3638372234147149</c:v>
                </c:pt>
                <c:pt idx="6">
                  <c:v>2.0437734748623053</c:v>
                </c:pt>
                <c:pt idx="7">
                  <c:v>1.6860969122163736</c:v>
                </c:pt>
                <c:pt idx="8">
                  <c:v>1.3029630669238144</c:v>
                </c:pt>
                <c:pt idx="9">
                  <c:v>0.9105587022680014</c:v>
                </c:pt>
                <c:pt idx="10">
                  <c:v>0.53146679991140522</c:v>
                </c:pt>
                <c:pt idx="11">
                  <c:v>0.20085788214191119</c:v>
                </c:pt>
                <c:pt idx="12">
                  <c:v>0</c:v>
                </c:pt>
              </c:numCache>
            </c:numRef>
          </c:yVal>
          <c:smooth val="1"/>
        </c:ser>
        <c:dLbls>
          <c:showLegendKey val="0"/>
          <c:showVal val="0"/>
          <c:showCatName val="0"/>
          <c:showSerName val="0"/>
          <c:showPercent val="0"/>
          <c:showBubbleSize val="0"/>
        </c:dLbls>
        <c:axId val="99577216"/>
        <c:axId val="99591680"/>
      </c:scatterChart>
      <c:valAx>
        <c:axId val="99577216"/>
        <c:scaling>
          <c:orientation val="minMax"/>
        </c:scaling>
        <c:delete val="0"/>
        <c:axPos val="b"/>
        <c:majorGridlines/>
        <c:title>
          <c:tx>
            <c:rich>
              <a:bodyPr/>
              <a:lstStyle/>
              <a:p>
                <a:pPr>
                  <a:defRPr/>
                </a:pPr>
                <a:r>
                  <a:rPr lang="en-US"/>
                  <a:t>Span position [m]</a:t>
                </a:r>
              </a:p>
            </c:rich>
          </c:tx>
          <c:layout/>
          <c:overlay val="0"/>
        </c:title>
        <c:numFmt formatCode="General" sourceLinked="1"/>
        <c:majorTickMark val="out"/>
        <c:minorTickMark val="none"/>
        <c:tickLblPos val="nextTo"/>
        <c:crossAx val="99591680"/>
        <c:crosses val="autoZero"/>
        <c:crossBetween val="midCat"/>
      </c:valAx>
      <c:valAx>
        <c:axId val="99591680"/>
        <c:scaling>
          <c:orientation val="minMax"/>
        </c:scaling>
        <c:delete val="0"/>
        <c:axPos val="l"/>
        <c:majorGridlines/>
        <c:numFmt formatCode="General" sourceLinked="1"/>
        <c:majorTickMark val="out"/>
        <c:minorTickMark val="none"/>
        <c:tickLblPos val="nextTo"/>
        <c:crossAx val="99577216"/>
        <c:crosses val="autoZero"/>
        <c:crossBetween val="midCat"/>
      </c:valAx>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marker>
            <c:symbol val="none"/>
          </c:marker>
          <c:xVal>
            <c:numRef>
              <c:f>'12'!$N$2:$N$31</c:f>
              <c:numCache>
                <c:formatCode>General</c:formatCode>
                <c:ptCount val="30"/>
                <c:pt idx="0">
                  <c:v>1195.0455340439692</c:v>
                </c:pt>
                <c:pt idx="1">
                  <c:v>1184.5842215363518</c:v>
                </c:pt>
                <c:pt idx="2">
                  <c:v>1163.0374322568807</c:v>
                </c:pt>
                <c:pt idx="3">
                  <c:v>1141.0129494003013</c:v>
                </c:pt>
                <c:pt idx="4">
                  <c:v>1118.9712917868974</c:v>
                </c:pt>
                <c:pt idx="5">
                  <c:v>1096.9429271601446</c:v>
                </c:pt>
                <c:pt idx="6">
                  <c:v>1074.9562001127913</c:v>
                </c:pt>
                <c:pt idx="7">
                  <c:v>1053.0453232678349</c:v>
                </c:pt>
                <c:pt idx="8">
                  <c:v>1031.2628642576876</c:v>
                </c:pt>
                <c:pt idx="9">
                  <c:v>1009.6951667184676</c:v>
                </c:pt>
                <c:pt idx="10">
                  <c:v>988.54045567686171</c:v>
                </c:pt>
                <c:pt idx="11">
                  <c:v>968.52515173562176</c:v>
                </c:pt>
                <c:pt idx="12">
                  <c:v>954.04136572964001</c:v>
                </c:pt>
                <c:pt idx="13">
                  <c:v>947.91044288721798</c:v>
                </c:pt>
                <c:pt idx="14">
                  <c:v>945.56164498296744</c:v>
                </c:pt>
                <c:pt idx="15">
                  <c:v>945.62277168369917</c:v>
                </c:pt>
                <c:pt idx="16">
                  <c:v>948.09394773778195</c:v>
                </c:pt>
                <c:pt idx="17">
                  <c:v>954.36009781202665</c:v>
                </c:pt>
                <c:pt idx="18">
                  <c:v>969.00094201437832</c:v>
                </c:pt>
                <c:pt idx="19">
                  <c:v>989.11878911480494</c:v>
                </c:pt>
                <c:pt idx="20">
                  <c:v>1010.3149166148658</c:v>
                </c:pt>
                <c:pt idx="21">
                  <c:v>1031.882239908979</c:v>
                </c:pt>
                <c:pt idx="22">
                  <c:v>1053.6343850654985</c:v>
                </c:pt>
                <c:pt idx="23">
                  <c:v>1075.4928675955421</c:v>
                </c:pt>
                <c:pt idx="24">
                  <c:v>1097.4103592981887</c:v>
                </c:pt>
                <c:pt idx="25">
                  <c:v>1119.3561405047694</c:v>
                </c:pt>
                <c:pt idx="26">
                  <c:v>1141.3036130996989</c:v>
                </c:pt>
                <c:pt idx="27">
                  <c:v>1163.2233073264526</c:v>
                </c:pt>
                <c:pt idx="28">
                  <c:v>1184.6567003386481</c:v>
                </c:pt>
                <c:pt idx="29">
                  <c:v>1195.0586326226974</c:v>
                </c:pt>
              </c:numCache>
            </c:numRef>
          </c:xVal>
          <c:yVal>
            <c:numRef>
              <c:f>'12'!$O$2:$O$31</c:f>
              <c:numCache>
                <c:formatCode>General</c:formatCode>
                <c:ptCount val="30"/>
                <c:pt idx="0">
                  <c:v>6.5016718793191597</c:v>
                </c:pt>
                <c:pt idx="1">
                  <c:v>7.4301847885064429</c:v>
                </c:pt>
                <c:pt idx="2">
                  <c:v>9.1641282952526879</c:v>
                </c:pt>
                <c:pt idx="3">
                  <c:v>10.713655780818229</c:v>
                </c:pt>
                <c:pt idx="4">
                  <c:v>12.050276880025457</c:v>
                </c:pt>
                <c:pt idx="5">
                  <c:v>13.154754919451127</c:v>
                </c:pt>
                <c:pt idx="6">
                  <c:v>13.992801784250235</c:v>
                </c:pt>
                <c:pt idx="7">
                  <c:v>14.495279702013921</c:v>
                </c:pt>
                <c:pt idx="8">
                  <c:v>14.558513210946613</c:v>
                </c:pt>
                <c:pt idx="9">
                  <c:v>14.027176299261221</c:v>
                </c:pt>
                <c:pt idx="10">
                  <c:v>12.668746686935947</c:v>
                </c:pt>
                <c:pt idx="11">
                  <c:v>10.113914279526279</c:v>
                </c:pt>
                <c:pt idx="12">
                  <c:v>6.604895130835815</c:v>
                </c:pt>
                <c:pt idx="13">
                  <c:v>3.7420128276365205</c:v>
                </c:pt>
                <c:pt idx="14">
                  <c:v>1.2310936563838011</c:v>
                </c:pt>
                <c:pt idx="15">
                  <c:v>-1.2171174820473494</c:v>
                </c:pt>
                <c:pt idx="16">
                  <c:v>-3.6076169369190358</c:v>
                </c:pt>
                <c:pt idx="17">
                  <c:v>-6.1607772338408981</c:v>
                </c:pt>
                <c:pt idx="18">
                  <c:v>-8.9421618061398593</c:v>
                </c:pt>
                <c:pt idx="19">
                  <c:v>-10.494328492179996</c:v>
                </c:pt>
                <c:pt idx="20">
                  <c:v>-10.794686834873383</c:v>
                </c:pt>
                <c:pt idx="21">
                  <c:v>-10.248360875401678</c:v>
                </c:pt>
                <c:pt idx="22">
                  <c:v>-9.0974815136429985</c:v>
                </c:pt>
                <c:pt idx="23">
                  <c:v>-7.5014927413228456</c:v>
                </c:pt>
                <c:pt idx="24">
                  <c:v>-5.5665657656540208</c:v>
                </c:pt>
                <c:pt idx="25">
                  <c:v>-3.3634605935665807</c:v>
                </c:pt>
                <c:pt idx="26">
                  <c:v>-0.92783799988499738</c:v>
                </c:pt>
                <c:pt idx="27">
                  <c:v>1.7195678947171489</c:v>
                </c:pt>
                <c:pt idx="28">
                  <c:v>4.5273058672237934</c:v>
                </c:pt>
                <c:pt idx="29">
                  <c:v>5.9770552067981999</c:v>
                </c:pt>
              </c:numCache>
            </c:numRef>
          </c:yVal>
          <c:smooth val="1"/>
        </c:ser>
        <c:dLbls>
          <c:showLegendKey val="0"/>
          <c:showVal val="0"/>
          <c:showCatName val="0"/>
          <c:showSerName val="0"/>
          <c:showPercent val="0"/>
          <c:showBubbleSize val="0"/>
        </c:dLbls>
        <c:axId val="107668992"/>
        <c:axId val="107670528"/>
      </c:scatterChart>
      <c:valAx>
        <c:axId val="107668992"/>
        <c:scaling>
          <c:orientation val="minMax"/>
        </c:scaling>
        <c:delete val="0"/>
        <c:axPos val="b"/>
        <c:numFmt formatCode="General" sourceLinked="1"/>
        <c:majorTickMark val="out"/>
        <c:minorTickMark val="none"/>
        <c:tickLblPos val="nextTo"/>
        <c:crossAx val="107670528"/>
        <c:crosses val="autoZero"/>
        <c:crossBetween val="midCat"/>
      </c:valAx>
      <c:valAx>
        <c:axId val="107670528"/>
        <c:scaling>
          <c:orientation val="minMax"/>
        </c:scaling>
        <c:delete val="0"/>
        <c:axPos val="l"/>
        <c:majorGridlines/>
        <c:numFmt formatCode="General" sourceLinked="1"/>
        <c:majorTickMark val="out"/>
        <c:minorTickMark val="none"/>
        <c:tickLblPos val="nextTo"/>
        <c:crossAx val="107668992"/>
        <c:crosses val="autoZero"/>
        <c:crossBetween val="midCat"/>
      </c:valAx>
    </c:plotArea>
    <c:plotVisOnly val="1"/>
    <c:dispBlanksAs val="gap"/>
    <c:showDLblsOverMax val="0"/>
  </c:chart>
  <c:printSettings>
    <c:headerFooter/>
    <c:pageMargins b="0.75000000000000611" l="0.70000000000000062" r="0.70000000000000062" t="0.75000000000000611"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marker>
            <c:symbol val="none"/>
          </c:marker>
          <c:xVal>
            <c:numRef>
              <c:f>Tip!$N$2:$N$31</c:f>
              <c:numCache>
                <c:formatCode>General</c:formatCode>
                <c:ptCount val="30"/>
                <c:pt idx="0">
                  <c:v>1249.9910432528031</c:v>
                </c:pt>
                <c:pt idx="1">
                  <c:v>1244.7291893321778</c:v>
                </c:pt>
                <c:pt idx="2">
                  <c:v>1233.8953994921599</c:v>
                </c:pt>
                <c:pt idx="3">
                  <c:v>1222.8262455145855</c:v>
                </c:pt>
                <c:pt idx="4">
                  <c:v>1211.7530922371229</c:v>
                </c:pt>
                <c:pt idx="5">
                  <c:v>1200.6916220786061</c:v>
                </c:pt>
                <c:pt idx="6">
                  <c:v>1189.6567792719945</c:v>
                </c:pt>
                <c:pt idx="7">
                  <c:v>1178.6672022832072</c:v>
                </c:pt>
                <c:pt idx="8">
                  <c:v>1167.7514738111233</c:v>
                </c:pt>
                <c:pt idx="9">
                  <c:v>1156.9562179040604</c:v>
                </c:pt>
                <c:pt idx="10">
                  <c:v>1146.3857882856732</c:v>
                </c:pt>
                <c:pt idx="11">
                  <c:v>1136.4121568208709</c:v>
                </c:pt>
                <c:pt idx="12">
                  <c:v>1129.230802484878</c:v>
                </c:pt>
                <c:pt idx="13">
                  <c:v>1126.2207702368908</c:v>
                </c:pt>
                <c:pt idx="14">
                  <c:v>1125.0982018464149</c:v>
                </c:pt>
                <c:pt idx="15">
                  <c:v>1125.1817981535851</c:v>
                </c:pt>
                <c:pt idx="16">
                  <c:v>1126.4717297631094</c:v>
                </c:pt>
                <c:pt idx="17">
                  <c:v>1129.6666975151218</c:v>
                </c:pt>
                <c:pt idx="18">
                  <c:v>1137.062843179129</c:v>
                </c:pt>
                <c:pt idx="19">
                  <c:v>1147.1767117143268</c:v>
                </c:pt>
                <c:pt idx="20">
                  <c:v>1157.8037820959396</c:v>
                </c:pt>
                <c:pt idx="21">
                  <c:v>1168.5985261888768</c:v>
                </c:pt>
                <c:pt idx="22">
                  <c:v>1179.4727977167927</c:v>
                </c:pt>
                <c:pt idx="23">
                  <c:v>1190.3907207280056</c:v>
                </c:pt>
                <c:pt idx="24">
                  <c:v>1201.3308779213939</c:v>
                </c:pt>
                <c:pt idx="25">
                  <c:v>1212.2794077628771</c:v>
                </c:pt>
                <c:pt idx="26">
                  <c:v>1223.2237544854145</c:v>
                </c:pt>
                <c:pt idx="27">
                  <c:v>1234.1496005078402</c:v>
                </c:pt>
                <c:pt idx="28">
                  <c:v>1244.8283106678223</c:v>
                </c:pt>
                <c:pt idx="29">
                  <c:v>1250.0089567471969</c:v>
                </c:pt>
              </c:numCache>
            </c:numRef>
          </c:xVal>
          <c:yVal>
            <c:numRef>
              <c:f>Tip!$O$2:$O$31</c:f>
              <c:numCache>
                <c:formatCode>General</c:formatCode>
                <c:ptCount val="30"/>
                <c:pt idx="0">
                  <c:v>8.6614854255130993</c:v>
                </c:pt>
                <c:pt idx="1">
                  <c:v>8.9001774917894174</c:v>
                </c:pt>
                <c:pt idx="2">
                  <c:v>9.3024007334240135</c:v>
                </c:pt>
                <c:pt idx="3">
                  <c:v>9.6019106206873719</c:v>
                </c:pt>
                <c:pt idx="4">
                  <c:v>9.7944027867624328</c:v>
                </c:pt>
                <c:pt idx="5">
                  <c:v>9.8709008599002601</c:v>
                </c:pt>
                <c:pt idx="6">
                  <c:v>9.8148431659976616</c:v>
                </c:pt>
                <c:pt idx="7">
                  <c:v>9.5923386356599458</c:v>
                </c:pt>
                <c:pt idx="8">
                  <c:v>9.1525933159722257</c:v>
                </c:pt>
                <c:pt idx="9">
                  <c:v>8.4196721846249147</c:v>
                </c:pt>
                <c:pt idx="10">
                  <c:v>7.281393522895657</c:v>
                </c:pt>
                <c:pt idx="11">
                  <c:v>5.5684891064556803</c:v>
                </c:pt>
                <c:pt idx="12">
                  <c:v>3.4973410787940113</c:v>
                </c:pt>
                <c:pt idx="13">
                  <c:v>1.9306206355327762</c:v>
                </c:pt>
                <c:pt idx="14">
                  <c:v>0.62205386367657467</c:v>
                </c:pt>
                <c:pt idx="15">
                  <c:v>-0.60294613632342531</c:v>
                </c:pt>
                <c:pt idx="16">
                  <c:v>-1.746879364467224</c:v>
                </c:pt>
                <c:pt idx="17">
                  <c:v>-2.8901589212059888</c:v>
                </c:pt>
                <c:pt idx="18">
                  <c:v>-3.9665108935443203</c:v>
                </c:pt>
                <c:pt idx="19">
                  <c:v>-4.3086064771043429</c:v>
                </c:pt>
                <c:pt idx="20">
                  <c:v>-4.000327815375087</c:v>
                </c:pt>
                <c:pt idx="21">
                  <c:v>-3.2599066840277762</c:v>
                </c:pt>
                <c:pt idx="22">
                  <c:v>-2.2126613643400543</c:v>
                </c:pt>
                <c:pt idx="23">
                  <c:v>-0.94015683400234107</c:v>
                </c:pt>
                <c:pt idx="24">
                  <c:v>0.50340085990025951</c:v>
                </c:pt>
                <c:pt idx="25">
                  <c:v>2.0819027867624333</c:v>
                </c:pt>
                <c:pt idx="26">
                  <c:v>3.7769106206873722</c:v>
                </c:pt>
                <c:pt idx="27">
                  <c:v>5.5774007334240139</c:v>
                </c:pt>
                <c:pt idx="28">
                  <c:v>7.4476774917894168</c:v>
                </c:pt>
                <c:pt idx="29">
                  <c:v>8.3989854255130965</c:v>
                </c:pt>
              </c:numCache>
            </c:numRef>
          </c:yVal>
          <c:smooth val="1"/>
        </c:ser>
        <c:dLbls>
          <c:showLegendKey val="0"/>
          <c:showVal val="0"/>
          <c:showCatName val="0"/>
          <c:showSerName val="0"/>
          <c:showPercent val="0"/>
          <c:showBubbleSize val="0"/>
        </c:dLbls>
        <c:axId val="107723392"/>
        <c:axId val="107733376"/>
      </c:scatterChart>
      <c:valAx>
        <c:axId val="107723392"/>
        <c:scaling>
          <c:orientation val="minMax"/>
        </c:scaling>
        <c:delete val="0"/>
        <c:axPos val="b"/>
        <c:numFmt formatCode="General" sourceLinked="1"/>
        <c:majorTickMark val="out"/>
        <c:minorTickMark val="none"/>
        <c:tickLblPos val="nextTo"/>
        <c:crossAx val="107733376"/>
        <c:crosses val="autoZero"/>
        <c:crossBetween val="midCat"/>
      </c:valAx>
      <c:valAx>
        <c:axId val="107733376"/>
        <c:scaling>
          <c:orientation val="minMax"/>
        </c:scaling>
        <c:delete val="0"/>
        <c:axPos val="l"/>
        <c:majorGridlines/>
        <c:numFmt formatCode="General" sourceLinked="1"/>
        <c:majorTickMark val="out"/>
        <c:minorTickMark val="none"/>
        <c:tickLblPos val="nextTo"/>
        <c:crossAx val="107723392"/>
        <c:crosses val="autoZero"/>
        <c:crossBetween val="midCat"/>
      </c:valAx>
    </c:plotArea>
    <c:plotVisOnly val="1"/>
    <c:dispBlanksAs val="gap"/>
    <c:showDLblsOverMax val="0"/>
  </c:chart>
  <c:printSettings>
    <c:headerFooter/>
    <c:pageMargins b="0.75000000000000633" l="0.70000000000000062" r="0.70000000000000062" t="0.750000000000006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Geometric twist [deg]</a:t>
            </a:r>
          </a:p>
        </c:rich>
      </c:tx>
      <c:layout>
        <c:manualLayout>
          <c:xMode val="edge"/>
          <c:yMode val="edge"/>
          <c:x val="2.7218098267939202E-2"/>
          <c:y val="5.5220772576291807E-2"/>
        </c:manualLayout>
      </c:layout>
      <c:overlay val="1"/>
    </c:title>
    <c:autoTitleDeleted val="0"/>
    <c:plotArea>
      <c:layout/>
      <c:scatterChart>
        <c:scatterStyle val="smoothMarker"/>
        <c:varyColors val="0"/>
        <c:ser>
          <c:idx val="0"/>
          <c:order val="0"/>
          <c:tx>
            <c:v>Geometric twist</c:v>
          </c:tx>
          <c:marker>
            <c:symbol val="none"/>
          </c:marker>
          <c:xVal>
            <c:numRef>
              <c:f>'Calculations (ignore)'!$B$3:$N$3</c:f>
              <c:numCache>
                <c:formatCode>General</c:formatCode>
                <c:ptCount val="13"/>
                <c:pt idx="0">
                  <c:v>0</c:v>
                </c:pt>
                <c:pt idx="1">
                  <c:v>0.125</c:v>
                </c:pt>
                <c:pt idx="2">
                  <c:v>0.25</c:v>
                </c:pt>
                <c:pt idx="3">
                  <c:v>0.375</c:v>
                </c:pt>
                <c:pt idx="4">
                  <c:v>0.5</c:v>
                </c:pt>
                <c:pt idx="5">
                  <c:v>0.625</c:v>
                </c:pt>
                <c:pt idx="6">
                  <c:v>0.74999999999999989</c:v>
                </c:pt>
                <c:pt idx="7">
                  <c:v>0.87499999999999989</c:v>
                </c:pt>
                <c:pt idx="8">
                  <c:v>1</c:v>
                </c:pt>
                <c:pt idx="9">
                  <c:v>1.125</c:v>
                </c:pt>
                <c:pt idx="10">
                  <c:v>1.25</c:v>
                </c:pt>
                <c:pt idx="11">
                  <c:v>1.375</c:v>
                </c:pt>
                <c:pt idx="12">
                  <c:v>1.5</c:v>
                </c:pt>
              </c:numCache>
            </c:numRef>
          </c:xVal>
          <c:yVal>
            <c:numRef>
              <c:f>'Calculations (ignore)'!$B$37:$N$37</c:f>
              <c:numCache>
                <c:formatCode>General</c:formatCode>
                <c:ptCount val="13"/>
                <c:pt idx="0">
                  <c:v>8.4829900706354096</c:v>
                </c:pt>
                <c:pt idx="1">
                  <c:v>8.4970932331976048</c:v>
                </c:pt>
                <c:pt idx="2">
                  <c:v>8.3521036481733404</c:v>
                </c:pt>
                <c:pt idx="3">
                  <c:v>8.0460151287766841</c:v>
                </c:pt>
                <c:pt idx="4">
                  <c:v>7.575315660905372</c:v>
                </c:pt>
                <c:pt idx="5">
                  <c:v>6.9346026239861676</c:v>
                </c:pt>
                <c:pt idx="6">
                  <c:v>6.1158849535117064</c:v>
                </c:pt>
                <c:pt idx="7">
                  <c:v>5.1073125809029669</c:v>
                </c:pt>
                <c:pt idx="8">
                  <c:v>3.8907630269934983</c:v>
                </c:pt>
                <c:pt idx="9">
                  <c:v>2.4369435918125348</c:v>
                </c:pt>
                <c:pt idx="10">
                  <c:v>0.69468425691597802</c:v>
                </c:pt>
                <c:pt idx="11">
                  <c:v>-1.4314298732636495</c:v>
                </c:pt>
                <c:pt idx="12">
                  <c:v>-3.905899412086856</c:v>
                </c:pt>
              </c:numCache>
            </c:numRef>
          </c:yVal>
          <c:smooth val="1"/>
        </c:ser>
        <c:ser>
          <c:idx val="1"/>
          <c:order val="1"/>
          <c:tx>
            <c:v>Geometric twist left</c:v>
          </c:tx>
          <c:spPr>
            <a:ln>
              <a:solidFill>
                <a:schemeClr val="accent1"/>
              </a:solidFill>
            </a:ln>
          </c:spPr>
          <c:marker>
            <c:symbol val="none"/>
          </c:marker>
          <c:xVal>
            <c:numRef>
              <c:f>'Calculations (ignore)'!$O$3:$AA$3</c:f>
              <c:numCache>
                <c:formatCode>General</c:formatCode>
                <c:ptCount val="13"/>
                <c:pt idx="0">
                  <c:v>0</c:v>
                </c:pt>
                <c:pt idx="1">
                  <c:v>-0.125</c:v>
                </c:pt>
                <c:pt idx="2">
                  <c:v>-0.25</c:v>
                </c:pt>
                <c:pt idx="3">
                  <c:v>-0.375</c:v>
                </c:pt>
                <c:pt idx="4">
                  <c:v>-0.5</c:v>
                </c:pt>
                <c:pt idx="5">
                  <c:v>-0.625</c:v>
                </c:pt>
                <c:pt idx="6">
                  <c:v>-0.74999999999999989</c:v>
                </c:pt>
                <c:pt idx="7">
                  <c:v>-0.87499999999999989</c:v>
                </c:pt>
                <c:pt idx="8">
                  <c:v>-1</c:v>
                </c:pt>
                <c:pt idx="9">
                  <c:v>-1.125</c:v>
                </c:pt>
                <c:pt idx="10">
                  <c:v>-1.25</c:v>
                </c:pt>
                <c:pt idx="11">
                  <c:v>-1.375</c:v>
                </c:pt>
                <c:pt idx="12">
                  <c:v>-1.5</c:v>
                </c:pt>
              </c:numCache>
            </c:numRef>
          </c:xVal>
          <c:yVal>
            <c:numRef>
              <c:f>'Calculations (ignore)'!$O$37:$AA$37</c:f>
              <c:numCache>
                <c:formatCode>General</c:formatCode>
                <c:ptCount val="13"/>
                <c:pt idx="0">
                  <c:v>8.4829900706354096</c:v>
                </c:pt>
                <c:pt idx="1">
                  <c:v>8.4970932331976048</c:v>
                </c:pt>
                <c:pt idx="2">
                  <c:v>8.3521036481733404</c:v>
                </c:pt>
                <c:pt idx="3">
                  <c:v>8.0460151287766841</c:v>
                </c:pt>
                <c:pt idx="4">
                  <c:v>7.575315660905372</c:v>
                </c:pt>
                <c:pt idx="5">
                  <c:v>6.9346026239861676</c:v>
                </c:pt>
                <c:pt idx="6">
                  <c:v>6.1158849535117064</c:v>
                </c:pt>
                <c:pt idx="7">
                  <c:v>5.1073125809029669</c:v>
                </c:pt>
                <c:pt idx="8">
                  <c:v>3.8907630269934983</c:v>
                </c:pt>
                <c:pt idx="9">
                  <c:v>2.4369435918125348</c:v>
                </c:pt>
                <c:pt idx="10">
                  <c:v>0.69468425691597802</c:v>
                </c:pt>
                <c:pt idx="11">
                  <c:v>-1.4314298732636495</c:v>
                </c:pt>
                <c:pt idx="12">
                  <c:v>-3.905899412086856</c:v>
                </c:pt>
              </c:numCache>
            </c:numRef>
          </c:yVal>
          <c:smooth val="1"/>
        </c:ser>
        <c:dLbls>
          <c:showLegendKey val="0"/>
          <c:showVal val="0"/>
          <c:showCatName val="0"/>
          <c:showSerName val="0"/>
          <c:showPercent val="0"/>
          <c:showBubbleSize val="0"/>
        </c:dLbls>
        <c:axId val="105727872"/>
        <c:axId val="105730048"/>
      </c:scatterChart>
      <c:valAx>
        <c:axId val="105727872"/>
        <c:scaling>
          <c:orientation val="minMax"/>
        </c:scaling>
        <c:delete val="0"/>
        <c:axPos val="b"/>
        <c:majorGridlines/>
        <c:title>
          <c:tx>
            <c:rich>
              <a:bodyPr/>
              <a:lstStyle/>
              <a:p>
                <a:pPr>
                  <a:defRPr/>
                </a:pPr>
                <a:r>
                  <a:rPr lang="en-US"/>
                  <a:t>Span position [m]</a:t>
                </a:r>
              </a:p>
            </c:rich>
          </c:tx>
          <c:layout/>
          <c:overlay val="0"/>
        </c:title>
        <c:numFmt formatCode="General" sourceLinked="1"/>
        <c:majorTickMark val="out"/>
        <c:minorTickMark val="none"/>
        <c:tickLblPos val="nextTo"/>
        <c:crossAx val="105730048"/>
        <c:crosses val="autoZero"/>
        <c:crossBetween val="midCat"/>
      </c:valAx>
      <c:valAx>
        <c:axId val="105730048"/>
        <c:scaling>
          <c:orientation val="minMax"/>
        </c:scaling>
        <c:delete val="0"/>
        <c:axPos val="l"/>
        <c:majorGridlines/>
        <c:numFmt formatCode="General" sourceLinked="1"/>
        <c:majorTickMark val="out"/>
        <c:minorTickMark val="none"/>
        <c:tickLblPos val="nextTo"/>
        <c:crossAx val="105727872"/>
        <c:crosses val="autoZero"/>
        <c:crossBetween val="midCat"/>
        <c:majorUnit val="1"/>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Local</a:t>
            </a:r>
            <a:r>
              <a:rPr lang="en-US" baseline="0"/>
              <a:t> Cl</a:t>
            </a:r>
            <a:endParaRPr lang="en-US"/>
          </a:p>
        </c:rich>
      </c:tx>
      <c:layout>
        <c:manualLayout>
          <c:xMode val="edge"/>
          <c:yMode val="edge"/>
          <c:x val="3.4870704923839903E-2"/>
          <c:y val="4.3956043956043959E-2"/>
        </c:manualLayout>
      </c:layout>
      <c:overlay val="1"/>
    </c:title>
    <c:autoTitleDeleted val="0"/>
    <c:plotArea>
      <c:layout/>
      <c:scatterChart>
        <c:scatterStyle val="smoothMarker"/>
        <c:varyColors val="0"/>
        <c:ser>
          <c:idx val="0"/>
          <c:order val="0"/>
          <c:tx>
            <c:v>Gamma</c:v>
          </c:tx>
          <c:marker>
            <c:symbol val="none"/>
          </c:marker>
          <c:xVal>
            <c:numRef>
              <c:f>'Calculations (ignore)'!$B$3:$N$3</c:f>
              <c:numCache>
                <c:formatCode>General</c:formatCode>
                <c:ptCount val="13"/>
                <c:pt idx="0">
                  <c:v>0</c:v>
                </c:pt>
                <c:pt idx="1">
                  <c:v>0.125</c:v>
                </c:pt>
                <c:pt idx="2">
                  <c:v>0.25</c:v>
                </c:pt>
                <c:pt idx="3">
                  <c:v>0.375</c:v>
                </c:pt>
                <c:pt idx="4">
                  <c:v>0.5</c:v>
                </c:pt>
                <c:pt idx="5">
                  <c:v>0.625</c:v>
                </c:pt>
                <c:pt idx="6">
                  <c:v>0.74999999999999989</c:v>
                </c:pt>
                <c:pt idx="7">
                  <c:v>0.87499999999999989</c:v>
                </c:pt>
                <c:pt idx="8">
                  <c:v>1</c:v>
                </c:pt>
                <c:pt idx="9">
                  <c:v>1.125</c:v>
                </c:pt>
                <c:pt idx="10">
                  <c:v>1.25</c:v>
                </c:pt>
                <c:pt idx="11">
                  <c:v>1.375</c:v>
                </c:pt>
                <c:pt idx="12">
                  <c:v>1.5</c:v>
                </c:pt>
              </c:numCache>
            </c:numRef>
          </c:xVal>
          <c:yVal>
            <c:numRef>
              <c:f>'Calculations (ignore)'!$B$34:$N$34</c:f>
              <c:numCache>
                <c:formatCode>General</c:formatCode>
                <c:ptCount val="13"/>
                <c:pt idx="0">
                  <c:v>0.60659451914759799</c:v>
                </c:pt>
                <c:pt idx="1">
                  <c:v>0.60325420518659856</c:v>
                </c:pt>
                <c:pt idx="2">
                  <c:v>0.59457114790241339</c:v>
                </c:pt>
                <c:pt idx="3">
                  <c:v>0.58034695979050555</c:v>
                </c:pt>
                <c:pt idx="4">
                  <c:v>0.56023131156879613</c:v>
                </c:pt>
                <c:pt idx="5">
                  <c:v>0.5336785039538775</c:v>
                </c:pt>
                <c:pt idx="6">
                  <c:v>0.49986992462421492</c:v>
                </c:pt>
                <c:pt idx="7">
                  <c:v>0.45757510610011615</c:v>
                </c:pt>
                <c:pt idx="8">
                  <c:v>0.40489151629636627</c:v>
                </c:pt>
                <c:pt idx="9">
                  <c:v>0.33872224251966226</c:v>
                </c:pt>
                <c:pt idx="10">
                  <c:v>0.25364252858320918</c:v>
                </c:pt>
                <c:pt idx="11">
                  <c:v>0.13954093365239997</c:v>
                </c:pt>
                <c:pt idx="12">
                  <c:v>0</c:v>
                </c:pt>
              </c:numCache>
            </c:numRef>
          </c:yVal>
          <c:smooth val="1"/>
        </c:ser>
        <c:ser>
          <c:idx val="1"/>
          <c:order val="1"/>
          <c:tx>
            <c:v>Gamma left</c:v>
          </c:tx>
          <c:spPr>
            <a:ln>
              <a:solidFill>
                <a:schemeClr val="accent1"/>
              </a:solidFill>
            </a:ln>
          </c:spPr>
          <c:marker>
            <c:symbol val="none"/>
          </c:marker>
          <c:xVal>
            <c:numRef>
              <c:f>'Calculations (ignore)'!$O$3:$AA$3</c:f>
              <c:numCache>
                <c:formatCode>General</c:formatCode>
                <c:ptCount val="13"/>
                <c:pt idx="0">
                  <c:v>0</c:v>
                </c:pt>
                <c:pt idx="1">
                  <c:v>-0.125</c:v>
                </c:pt>
                <c:pt idx="2">
                  <c:v>-0.25</c:v>
                </c:pt>
                <c:pt idx="3">
                  <c:v>-0.375</c:v>
                </c:pt>
                <c:pt idx="4">
                  <c:v>-0.5</c:v>
                </c:pt>
                <c:pt idx="5">
                  <c:v>-0.625</c:v>
                </c:pt>
                <c:pt idx="6">
                  <c:v>-0.74999999999999989</c:v>
                </c:pt>
                <c:pt idx="7">
                  <c:v>-0.87499999999999989</c:v>
                </c:pt>
                <c:pt idx="8">
                  <c:v>-1</c:v>
                </c:pt>
                <c:pt idx="9">
                  <c:v>-1.125</c:v>
                </c:pt>
                <c:pt idx="10">
                  <c:v>-1.25</c:v>
                </c:pt>
                <c:pt idx="11">
                  <c:v>-1.375</c:v>
                </c:pt>
                <c:pt idx="12">
                  <c:v>-1.5</c:v>
                </c:pt>
              </c:numCache>
            </c:numRef>
          </c:xVal>
          <c:yVal>
            <c:numRef>
              <c:f>'Calculations (ignore)'!$O$34:$AA$34</c:f>
              <c:numCache>
                <c:formatCode>General</c:formatCode>
                <c:ptCount val="13"/>
                <c:pt idx="0">
                  <c:v>0.60659451914759799</c:v>
                </c:pt>
                <c:pt idx="1">
                  <c:v>0.60325420518659856</c:v>
                </c:pt>
                <c:pt idx="2">
                  <c:v>0.59457114790241339</c:v>
                </c:pt>
                <c:pt idx="3">
                  <c:v>0.58034695979050555</c:v>
                </c:pt>
                <c:pt idx="4">
                  <c:v>0.56023131156879613</c:v>
                </c:pt>
                <c:pt idx="5">
                  <c:v>0.5336785039538775</c:v>
                </c:pt>
                <c:pt idx="6">
                  <c:v>0.49986992462421492</c:v>
                </c:pt>
                <c:pt idx="7">
                  <c:v>0.45757510610011615</c:v>
                </c:pt>
                <c:pt idx="8">
                  <c:v>0.40489151629636627</c:v>
                </c:pt>
                <c:pt idx="9">
                  <c:v>0.33872224251966226</c:v>
                </c:pt>
                <c:pt idx="10">
                  <c:v>0.25364252858320918</c:v>
                </c:pt>
                <c:pt idx="11">
                  <c:v>0.13954093365239997</c:v>
                </c:pt>
                <c:pt idx="12">
                  <c:v>0</c:v>
                </c:pt>
              </c:numCache>
            </c:numRef>
          </c:yVal>
          <c:smooth val="1"/>
        </c:ser>
        <c:dLbls>
          <c:showLegendKey val="0"/>
          <c:showVal val="0"/>
          <c:showCatName val="0"/>
          <c:showSerName val="0"/>
          <c:showPercent val="0"/>
          <c:showBubbleSize val="0"/>
        </c:dLbls>
        <c:axId val="105750912"/>
        <c:axId val="105752832"/>
      </c:scatterChart>
      <c:valAx>
        <c:axId val="105750912"/>
        <c:scaling>
          <c:orientation val="minMax"/>
        </c:scaling>
        <c:delete val="0"/>
        <c:axPos val="b"/>
        <c:majorGridlines/>
        <c:title>
          <c:tx>
            <c:rich>
              <a:bodyPr/>
              <a:lstStyle/>
              <a:p>
                <a:pPr>
                  <a:defRPr/>
                </a:pPr>
                <a:r>
                  <a:rPr lang="en-US"/>
                  <a:t>Span position [m]</a:t>
                </a:r>
              </a:p>
            </c:rich>
          </c:tx>
          <c:layout/>
          <c:overlay val="0"/>
        </c:title>
        <c:numFmt formatCode="General" sourceLinked="1"/>
        <c:majorTickMark val="out"/>
        <c:minorTickMark val="none"/>
        <c:tickLblPos val="nextTo"/>
        <c:crossAx val="105752832"/>
        <c:crosses val="autoZero"/>
        <c:crossBetween val="midCat"/>
      </c:valAx>
      <c:valAx>
        <c:axId val="105752832"/>
        <c:scaling>
          <c:orientation val="minMax"/>
        </c:scaling>
        <c:delete val="0"/>
        <c:axPos val="l"/>
        <c:majorGridlines/>
        <c:numFmt formatCode="General" sourceLinked="1"/>
        <c:majorTickMark val="out"/>
        <c:minorTickMark val="none"/>
        <c:tickLblPos val="nextTo"/>
        <c:crossAx val="105750912"/>
        <c:crosses val="autoZero"/>
        <c:crossBetween val="midCat"/>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Local</a:t>
            </a:r>
            <a:r>
              <a:rPr lang="en-US" baseline="0"/>
              <a:t> Reynold's number for</a:t>
            </a:r>
          </a:p>
          <a:p>
            <a:pPr>
              <a:defRPr/>
            </a:pPr>
            <a:r>
              <a:rPr lang="en-US" baseline="0"/>
              <a:t>Cl used for Lift Distr.</a:t>
            </a:r>
            <a:endParaRPr lang="en-US"/>
          </a:p>
        </c:rich>
      </c:tx>
      <c:layout>
        <c:manualLayout>
          <c:xMode val="edge"/>
          <c:yMode val="edge"/>
          <c:x val="3.4870704923839903E-2"/>
          <c:y val="4.3956043956043959E-2"/>
        </c:manualLayout>
      </c:layout>
      <c:overlay val="1"/>
    </c:title>
    <c:autoTitleDeleted val="0"/>
    <c:plotArea>
      <c:layout/>
      <c:scatterChart>
        <c:scatterStyle val="smoothMarker"/>
        <c:varyColors val="0"/>
        <c:ser>
          <c:idx val="0"/>
          <c:order val="0"/>
          <c:tx>
            <c:v>Gamma</c:v>
          </c:tx>
          <c:marker>
            <c:symbol val="none"/>
          </c:marker>
          <c:xVal>
            <c:numRef>
              <c:f>'Calculations (ignore)'!$B$3:$N$3</c:f>
              <c:numCache>
                <c:formatCode>General</c:formatCode>
                <c:ptCount val="13"/>
                <c:pt idx="0">
                  <c:v>0</c:v>
                </c:pt>
                <c:pt idx="1">
                  <c:v>0.125</c:v>
                </c:pt>
                <c:pt idx="2">
                  <c:v>0.25</c:v>
                </c:pt>
                <c:pt idx="3">
                  <c:v>0.375</c:v>
                </c:pt>
                <c:pt idx="4">
                  <c:v>0.5</c:v>
                </c:pt>
                <c:pt idx="5">
                  <c:v>0.625</c:v>
                </c:pt>
                <c:pt idx="6">
                  <c:v>0.74999999999999989</c:v>
                </c:pt>
                <c:pt idx="7">
                  <c:v>0.87499999999999989</c:v>
                </c:pt>
                <c:pt idx="8">
                  <c:v>1</c:v>
                </c:pt>
                <c:pt idx="9">
                  <c:v>1.125</c:v>
                </c:pt>
                <c:pt idx="10">
                  <c:v>1.25</c:v>
                </c:pt>
                <c:pt idx="11">
                  <c:v>1.375</c:v>
                </c:pt>
                <c:pt idx="12">
                  <c:v>1.5</c:v>
                </c:pt>
              </c:numCache>
            </c:numRef>
          </c:xVal>
          <c:yVal>
            <c:numRef>
              <c:f>'Calculations (ignore)'!$B$38:$N$38</c:f>
              <c:numCache>
                <c:formatCode>General</c:formatCode>
                <c:ptCount val="13"/>
                <c:pt idx="0">
                  <c:v>686968.36356222804</c:v>
                </c:pt>
                <c:pt idx="1">
                  <c:v>683589.17890350183</c:v>
                </c:pt>
                <c:pt idx="2">
                  <c:v>671861.4203820402</c:v>
                </c:pt>
                <c:pt idx="3">
                  <c:v>651785.08799784316</c:v>
                </c:pt>
                <c:pt idx="4">
                  <c:v>623360.18175091071</c:v>
                </c:pt>
                <c:pt idx="5">
                  <c:v>586586.70164124283</c:v>
                </c:pt>
                <c:pt idx="6">
                  <c:v>541464.64766883955</c:v>
                </c:pt>
                <c:pt idx="7">
                  <c:v>487994.01983370091</c:v>
                </c:pt>
                <c:pt idx="8">
                  <c:v>426174.81813582673</c:v>
                </c:pt>
                <c:pt idx="9">
                  <c:v>356007.0425752172</c:v>
                </c:pt>
                <c:pt idx="10">
                  <c:v>277490.69315187226</c:v>
                </c:pt>
                <c:pt idx="11">
                  <c:v>190625.7698657919</c:v>
                </c:pt>
                <c:pt idx="12">
                  <c:v>95412.27271697612</c:v>
                </c:pt>
              </c:numCache>
            </c:numRef>
          </c:yVal>
          <c:smooth val="1"/>
        </c:ser>
        <c:ser>
          <c:idx val="1"/>
          <c:order val="1"/>
          <c:tx>
            <c:v>Gamma left</c:v>
          </c:tx>
          <c:spPr>
            <a:ln>
              <a:solidFill>
                <a:schemeClr val="accent1"/>
              </a:solidFill>
            </a:ln>
          </c:spPr>
          <c:marker>
            <c:symbol val="none"/>
          </c:marker>
          <c:xVal>
            <c:numRef>
              <c:f>'Calculations (ignore)'!$O$3:$AA$3</c:f>
              <c:numCache>
                <c:formatCode>General</c:formatCode>
                <c:ptCount val="13"/>
                <c:pt idx="0">
                  <c:v>0</c:v>
                </c:pt>
                <c:pt idx="1">
                  <c:v>-0.125</c:v>
                </c:pt>
                <c:pt idx="2">
                  <c:v>-0.25</c:v>
                </c:pt>
                <c:pt idx="3">
                  <c:v>-0.375</c:v>
                </c:pt>
                <c:pt idx="4">
                  <c:v>-0.5</c:v>
                </c:pt>
                <c:pt idx="5">
                  <c:v>-0.625</c:v>
                </c:pt>
                <c:pt idx="6">
                  <c:v>-0.74999999999999989</c:v>
                </c:pt>
                <c:pt idx="7">
                  <c:v>-0.87499999999999989</c:v>
                </c:pt>
                <c:pt idx="8">
                  <c:v>-1</c:v>
                </c:pt>
                <c:pt idx="9">
                  <c:v>-1.125</c:v>
                </c:pt>
                <c:pt idx="10">
                  <c:v>-1.25</c:v>
                </c:pt>
                <c:pt idx="11">
                  <c:v>-1.375</c:v>
                </c:pt>
                <c:pt idx="12">
                  <c:v>-1.5</c:v>
                </c:pt>
              </c:numCache>
            </c:numRef>
          </c:xVal>
          <c:yVal>
            <c:numRef>
              <c:f>'Calculations (ignore)'!$O$38:$AA$38</c:f>
              <c:numCache>
                <c:formatCode>General</c:formatCode>
                <c:ptCount val="13"/>
                <c:pt idx="0">
                  <c:v>686968.36356222804</c:v>
                </c:pt>
                <c:pt idx="1">
                  <c:v>683589.17890350183</c:v>
                </c:pt>
                <c:pt idx="2">
                  <c:v>671861.4203820402</c:v>
                </c:pt>
                <c:pt idx="3">
                  <c:v>651785.08799784316</c:v>
                </c:pt>
                <c:pt idx="4">
                  <c:v>623360.18175091071</c:v>
                </c:pt>
                <c:pt idx="5">
                  <c:v>586586.70164124283</c:v>
                </c:pt>
                <c:pt idx="6">
                  <c:v>541464.64766883955</c:v>
                </c:pt>
                <c:pt idx="7">
                  <c:v>487994.01983370091</c:v>
                </c:pt>
                <c:pt idx="8">
                  <c:v>426174.81813582673</c:v>
                </c:pt>
                <c:pt idx="9">
                  <c:v>356007.0425752172</c:v>
                </c:pt>
                <c:pt idx="10">
                  <c:v>277490.69315187226</c:v>
                </c:pt>
                <c:pt idx="11">
                  <c:v>190625.7698657919</c:v>
                </c:pt>
                <c:pt idx="12">
                  <c:v>95412.27271697612</c:v>
                </c:pt>
              </c:numCache>
            </c:numRef>
          </c:yVal>
          <c:smooth val="1"/>
        </c:ser>
        <c:dLbls>
          <c:showLegendKey val="0"/>
          <c:showVal val="0"/>
          <c:showCatName val="0"/>
          <c:showSerName val="0"/>
          <c:showPercent val="0"/>
          <c:showBubbleSize val="0"/>
        </c:dLbls>
        <c:axId val="105773696"/>
        <c:axId val="105779968"/>
      </c:scatterChart>
      <c:valAx>
        <c:axId val="105773696"/>
        <c:scaling>
          <c:orientation val="minMax"/>
        </c:scaling>
        <c:delete val="0"/>
        <c:axPos val="b"/>
        <c:majorGridlines/>
        <c:title>
          <c:tx>
            <c:rich>
              <a:bodyPr/>
              <a:lstStyle/>
              <a:p>
                <a:pPr>
                  <a:defRPr/>
                </a:pPr>
                <a:r>
                  <a:rPr lang="en-US"/>
                  <a:t>Span position [m]</a:t>
                </a:r>
              </a:p>
            </c:rich>
          </c:tx>
          <c:layout/>
          <c:overlay val="0"/>
        </c:title>
        <c:numFmt formatCode="General" sourceLinked="1"/>
        <c:majorTickMark val="out"/>
        <c:minorTickMark val="none"/>
        <c:tickLblPos val="nextTo"/>
        <c:crossAx val="105779968"/>
        <c:crosses val="autoZero"/>
        <c:crossBetween val="midCat"/>
      </c:valAx>
      <c:valAx>
        <c:axId val="105779968"/>
        <c:scaling>
          <c:orientation val="minMax"/>
        </c:scaling>
        <c:delete val="0"/>
        <c:axPos val="l"/>
        <c:majorGridlines/>
        <c:numFmt formatCode="General" sourceLinked="1"/>
        <c:majorTickMark val="out"/>
        <c:minorTickMark val="none"/>
        <c:tickLblPos val="nextTo"/>
        <c:crossAx val="105773696"/>
        <c:crosses val="autoZero"/>
        <c:crossBetween val="midCat"/>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33339521065197E-2"/>
          <c:y val="3.4785968180912202E-2"/>
          <c:w val="0.94404449327814721"/>
          <c:h val="0.9135067070831645"/>
        </c:manualLayout>
      </c:layout>
      <c:scatterChart>
        <c:scatterStyle val="smoothMarker"/>
        <c:varyColors val="0"/>
        <c:ser>
          <c:idx val="0"/>
          <c:order val="0"/>
          <c:spPr>
            <a:ln w="28575"/>
          </c:spPr>
          <c:marker>
            <c:symbol val="none"/>
          </c:marker>
          <c:xVal>
            <c:numRef>
              <c:f>Root!$N$2:$N$31</c:f>
              <c:numCache>
                <c:formatCode>General</c:formatCode>
                <c:ptCount val="30"/>
                <c:pt idx="0">
                  <c:v>900.01878291797902</c:v>
                </c:pt>
                <c:pt idx="1">
                  <c:v>856.85065835616024</c:v>
                </c:pt>
                <c:pt idx="2">
                  <c:v>781.821818485569</c:v>
                </c:pt>
                <c:pt idx="3">
                  <c:v>706.95979000071134</c:v>
                </c:pt>
                <c:pt idx="4">
                  <c:v>632.35742343561401</c:v>
                </c:pt>
                <c:pt idx="5">
                  <c:v>558.14513516026227</c:v>
                </c:pt>
                <c:pt idx="6">
                  <c:v>484.08299635088372</c:v>
                </c:pt>
                <c:pt idx="7">
                  <c:v>409.94544117494064</c:v>
                </c:pt>
                <c:pt idx="8">
                  <c:v>335.17469027463375</c:v>
                </c:pt>
                <c:pt idx="9">
                  <c:v>260.11586820836129</c:v>
                </c:pt>
                <c:pt idx="10">
                  <c:v>184.43709241416218</c:v>
                </c:pt>
                <c:pt idx="11">
                  <c:v>110.72890026366061</c:v>
                </c:pt>
                <c:pt idx="12">
                  <c:v>45.101957236796679</c:v>
                </c:pt>
                <c:pt idx="13">
                  <c:v>13.029032000568991</c:v>
                </c:pt>
                <c:pt idx="14">
                  <c:v>2.3130747227245987</c:v>
                </c:pt>
                <c:pt idx="15">
                  <c:v>8.1387902230530357E-2</c:v>
                </c:pt>
                <c:pt idx="16">
                  <c:v>5.1740213679190896</c:v>
                </c:pt>
                <c:pt idx="17">
                  <c:v>26.436185084872616</c:v>
                </c:pt>
                <c:pt idx="18">
                  <c:v>81.670266955321623</c:v>
                </c:pt>
                <c:pt idx="19">
                  <c:v>154.8949217684054</c:v>
                </c:pt>
                <c:pt idx="20">
                  <c:v>231.38183636172124</c:v>
                </c:pt>
                <c:pt idx="21">
                  <c:v>308.50669401268675</c:v>
                </c:pt>
                <c:pt idx="22">
                  <c:v>386.04276162531409</c:v>
                </c:pt>
                <c:pt idx="23">
                  <c:v>464.12900717166895</c:v>
                </c:pt>
                <c:pt idx="24">
                  <c:v>542.3940818978142</c:v>
                </c:pt>
                <c:pt idx="25">
                  <c:v>620.71427761875736</c:v>
                </c:pt>
                <c:pt idx="26">
                  <c:v>699.02787903256728</c:v>
                </c:pt>
                <c:pt idx="27">
                  <c:v>777.42606051621249</c:v>
                </c:pt>
                <c:pt idx="28">
                  <c:v>855.40800712377995</c:v>
                </c:pt>
                <c:pt idx="29">
                  <c:v>900.01878291797902</c:v>
                </c:pt>
              </c:numCache>
            </c:numRef>
          </c:xVal>
          <c:yVal>
            <c:numRef>
              <c:f>Root!$O$2:$O$31</c:f>
              <c:numCache>
                <c:formatCode>General</c:formatCode>
                <c:ptCount val="30"/>
                <c:pt idx="0">
                  <c:v>-135.51881605168765</c:v>
                </c:pt>
                <c:pt idx="1">
                  <c:v>-123.92459487233876</c:v>
                </c:pt>
                <c:pt idx="2">
                  <c:v>-102.72873415015621</c:v>
                </c:pt>
                <c:pt idx="3">
                  <c:v>-79.902319635870697</c:v>
                </c:pt>
                <c:pt idx="4">
                  <c:v>-55.626775436106279</c:v>
                </c:pt>
                <c:pt idx="5">
                  <c:v>-29.828741058205097</c:v>
                </c:pt>
                <c:pt idx="6">
                  <c:v>-3.8859070499347497</c:v>
                </c:pt>
                <c:pt idx="7">
                  <c:v>19.361510842875919</c:v>
                </c:pt>
                <c:pt idx="8">
                  <c:v>38.751157731171176</c:v>
                </c:pt>
                <c:pt idx="9">
                  <c:v>51.756775879259081</c:v>
                </c:pt>
                <c:pt idx="10">
                  <c:v>58.186542836562396</c:v>
                </c:pt>
                <c:pt idx="11">
                  <c:v>53.77122623454629</c:v>
                </c:pt>
                <c:pt idx="12">
                  <c:v>37.961905089980448</c:v>
                </c:pt>
                <c:pt idx="13">
                  <c:v>19.355692276851315</c:v>
                </c:pt>
                <c:pt idx="14">
                  <c:v>7.5763913072920044</c:v>
                </c:pt>
                <c:pt idx="15">
                  <c:v>-1.4447220827227825</c:v>
                </c:pt>
                <c:pt idx="16">
                  <c:v>-12.704544823091684</c:v>
                </c:pt>
                <c:pt idx="17">
                  <c:v>-28.047800587165788</c:v>
                </c:pt>
                <c:pt idx="18">
                  <c:v>-51.590085300105514</c:v>
                </c:pt>
                <c:pt idx="19">
                  <c:v>-69.36076049802061</c:v>
                </c:pt>
                <c:pt idx="20">
                  <c:v>-82.851366014977401</c:v>
                </c:pt>
                <c:pt idx="21">
                  <c:v>-94.261532872942098</c:v>
                </c:pt>
                <c:pt idx="22">
                  <c:v>-103.63150158170517</c:v>
                </c:pt>
                <c:pt idx="23">
                  <c:v>-111.39149010597546</c:v>
                </c:pt>
                <c:pt idx="24">
                  <c:v>-117.87619917175283</c:v>
                </c:pt>
                <c:pt idx="25">
                  <c:v>-123.11349202182335</c:v>
                </c:pt>
                <c:pt idx="26">
                  <c:v>-127.52194335500728</c:v>
                </c:pt>
                <c:pt idx="27">
                  <c:v>-130.91995995642776</c:v>
                </c:pt>
                <c:pt idx="28">
                  <c:v>-133.77155620667219</c:v>
                </c:pt>
                <c:pt idx="29">
                  <c:v>-135.51881605168765</c:v>
                </c:pt>
              </c:numCache>
            </c:numRef>
          </c:yVal>
          <c:smooth val="1"/>
        </c:ser>
        <c:ser>
          <c:idx val="1"/>
          <c:order val="1"/>
          <c:spPr>
            <a:ln>
              <a:solidFill>
                <a:schemeClr val="accent1"/>
              </a:solidFill>
            </a:ln>
          </c:spPr>
          <c:marker>
            <c:symbol val="none"/>
          </c:marker>
          <c:xVal>
            <c:numRef>
              <c:f>'2'!$N$2:$N$31</c:f>
              <c:numCache>
                <c:formatCode>General</c:formatCode>
                <c:ptCount val="30"/>
                <c:pt idx="0">
                  <c:v>903.41427983949109</c:v>
                </c:pt>
                <c:pt idx="1">
                  <c:v>860.97498206537705</c:v>
                </c:pt>
                <c:pt idx="2">
                  <c:v>786.21834584577675</c:v>
                </c:pt>
                <c:pt idx="3">
                  <c:v>711.46250801374458</c:v>
                </c:pt>
                <c:pt idx="4">
                  <c:v>636.92766385322534</c:v>
                </c:pt>
                <c:pt idx="5">
                  <c:v>562.7408584964362</c:v>
                </c:pt>
                <c:pt idx="6">
                  <c:v>488.68957446275647</c:v>
                </c:pt>
                <c:pt idx="7">
                  <c:v>414.5740038825557</c:v>
                </c:pt>
                <c:pt idx="8">
                  <c:v>339.89533311247368</c:v>
                </c:pt>
                <c:pt idx="9">
                  <c:v>264.9854284270275</c:v>
                </c:pt>
                <c:pt idx="10">
                  <c:v>189.58838599467117</c:v>
                </c:pt>
                <c:pt idx="11">
                  <c:v>116.26324106903736</c:v>
                </c:pt>
                <c:pt idx="12">
                  <c:v>51.903379504745736</c:v>
                </c:pt>
                <c:pt idx="13">
                  <c:v>20.669468892019786</c:v>
                </c:pt>
                <c:pt idx="14">
                  <c:v>10.062340581676606</c:v>
                </c:pt>
                <c:pt idx="15">
                  <c:v>7.9154014398174208</c:v>
                </c:pt>
                <c:pt idx="16">
                  <c:v>13.16922327265798</c:v>
                </c:pt>
                <c:pt idx="17">
                  <c:v>34.292514598064756</c:v>
                </c:pt>
                <c:pt idx="18">
                  <c:v>88.88275846829066</c:v>
                </c:pt>
                <c:pt idx="19">
                  <c:v>161.57869170904399</c:v>
                </c:pt>
                <c:pt idx="20">
                  <c:v>237.63734715174064</c:v>
                </c:pt>
                <c:pt idx="21">
                  <c:v>314.43289379723876</c:v>
                </c:pt>
                <c:pt idx="22">
                  <c:v>391.69044600467822</c:v>
                </c:pt>
                <c:pt idx="23">
                  <c:v>469.50502459423342</c:v>
                </c:pt>
                <c:pt idx="24">
                  <c:v>547.51820753238462</c:v>
                </c:pt>
                <c:pt idx="25">
                  <c:v>625.60432075176254</c:v>
                </c:pt>
                <c:pt idx="26">
                  <c:v>703.69720560667236</c:v>
                </c:pt>
                <c:pt idx="27">
                  <c:v>781.87022360000969</c:v>
                </c:pt>
                <c:pt idx="28">
                  <c:v>859.52732858888646</c:v>
                </c:pt>
                <c:pt idx="29">
                  <c:v>903.39087726693072</c:v>
                </c:pt>
              </c:numCache>
            </c:numRef>
          </c:xVal>
          <c:yVal>
            <c:numRef>
              <c:f>'2'!$O$2:$O$31</c:f>
              <c:numCache>
                <c:formatCode>General</c:formatCode>
                <c:ptCount val="30"/>
                <c:pt idx="0">
                  <c:v>-135.01621634296876</c:v>
                </c:pt>
                <c:pt idx="1">
                  <c:v>-123.60005635030362</c:v>
                </c:pt>
                <c:pt idx="2">
                  <c:v>-102.5921493508242</c:v>
                </c:pt>
                <c:pt idx="3">
                  <c:v>-80.127168860045728</c:v>
                </c:pt>
                <c:pt idx="4">
                  <c:v>-56.403441284895663</c:v>
                </c:pt>
                <c:pt idx="5">
                  <c:v>-31.361463774348465</c:v>
                </c:pt>
                <c:pt idx="6">
                  <c:v>-6.2697486428127158</c:v>
                </c:pt>
                <c:pt idx="7">
                  <c:v>16.258247618036354</c:v>
                </c:pt>
                <c:pt idx="8">
                  <c:v>35.128376815255976</c:v>
                </c:pt>
                <c:pt idx="9">
                  <c:v>47.984789154841287</c:v>
                </c:pt>
                <c:pt idx="10">
                  <c:v>54.572213122555212</c:v>
                </c:pt>
                <c:pt idx="11">
                  <c:v>50.846263557770094</c:v>
                </c:pt>
                <c:pt idx="12">
                  <c:v>36.146497306521852</c:v>
                </c:pt>
                <c:pt idx="13">
                  <c:v>18.64242341954446</c:v>
                </c:pt>
                <c:pt idx="14">
                  <c:v>7.2679721951291407</c:v>
                </c:pt>
                <c:pt idx="15">
                  <c:v>-1.7002959003663758</c:v>
                </c:pt>
                <c:pt idx="16">
                  <c:v>-12.821918828478758</c:v>
                </c:pt>
                <c:pt idx="17">
                  <c:v>-27.920870880618864</c:v>
                </c:pt>
                <c:pt idx="18">
                  <c:v>-51.016292393864987</c:v>
                </c:pt>
                <c:pt idx="19">
                  <c:v>-68.769377282031115</c:v>
                </c:pt>
                <c:pt idx="20">
                  <c:v>-82.299099381313312</c:v>
                </c:pt>
                <c:pt idx="21">
                  <c:v>-93.696043192209075</c:v>
                </c:pt>
                <c:pt idx="22">
                  <c:v>-103.05987515999685</c:v>
                </c:pt>
                <c:pt idx="23">
                  <c:v>-110.82690274813882</c:v>
                </c:pt>
                <c:pt idx="24">
                  <c:v>-117.3318029605615</c:v>
                </c:pt>
                <c:pt idx="25">
                  <c:v>-122.61962885325093</c:v>
                </c:pt>
                <c:pt idx="26">
                  <c:v>-127.08152528624994</c:v>
                </c:pt>
                <c:pt idx="27">
                  <c:v>-130.55654372617326</c:v>
                </c:pt>
                <c:pt idx="28">
                  <c:v>-133.45919674788843</c:v>
                </c:pt>
                <c:pt idx="29">
                  <c:v>-135.1746792334356</c:v>
                </c:pt>
              </c:numCache>
            </c:numRef>
          </c:yVal>
          <c:smooth val="1"/>
        </c:ser>
        <c:ser>
          <c:idx val="2"/>
          <c:order val="2"/>
          <c:spPr>
            <a:ln>
              <a:solidFill>
                <a:srgbClr val="4F81BD"/>
              </a:solidFill>
            </a:ln>
          </c:spPr>
          <c:marker>
            <c:symbol val="none"/>
          </c:marker>
          <c:xVal>
            <c:numRef>
              <c:f>'3'!$N$2:$N$31</c:f>
              <c:numCache>
                <c:formatCode>General</c:formatCode>
                <c:ptCount val="30"/>
                <c:pt idx="0">
                  <c:v>911.49600489736054</c:v>
                </c:pt>
                <c:pt idx="1">
                  <c:v>870.27903851684869</c:v>
                </c:pt>
                <c:pt idx="2">
                  <c:v>796.68378515528798</c:v>
                </c:pt>
                <c:pt idx="3">
                  <c:v>722.92345100942327</c:v>
                </c:pt>
                <c:pt idx="4">
                  <c:v>649.34050433309142</c:v>
                </c:pt>
                <c:pt idx="5">
                  <c:v>576.05694637110355</c:v>
                </c:pt>
                <c:pt idx="6">
                  <c:v>502.89295805241971</c:v>
                </c:pt>
                <c:pt idx="7">
                  <c:v>429.68303347184525</c:v>
                </c:pt>
                <c:pt idx="8">
                  <c:v>355.99517054142092</c:v>
                </c:pt>
                <c:pt idx="9">
                  <c:v>282.15005048649118</c:v>
                </c:pt>
                <c:pt idx="10">
                  <c:v>207.97014121679888</c:v>
                </c:pt>
                <c:pt idx="11">
                  <c:v>135.96155400446395</c:v>
                </c:pt>
                <c:pt idx="12">
                  <c:v>73.697197348321026</c:v>
                </c:pt>
                <c:pt idx="13">
                  <c:v>43.726166446371103</c:v>
                </c:pt>
                <c:pt idx="14">
                  <c:v>33.390378464068817</c:v>
                </c:pt>
                <c:pt idx="15">
                  <c:v>31.37779251678268</c:v>
                </c:pt>
                <c:pt idx="16">
                  <c:v>36.752125175077495</c:v>
                </c:pt>
                <c:pt idx="17">
                  <c:v>57.511066612846008</c:v>
                </c:pt>
                <c:pt idx="18">
                  <c:v>110.8384061933756</c:v>
                </c:pt>
                <c:pt idx="19">
                  <c:v>182.13996336255005</c:v>
                </c:pt>
                <c:pt idx="20">
                  <c:v>256.8483424343753</c:v>
                </c:pt>
                <c:pt idx="21">
                  <c:v>332.37508063738909</c:v>
                </c:pt>
                <c:pt idx="22">
                  <c:v>408.40211531465945</c:v>
                </c:pt>
                <c:pt idx="23">
                  <c:v>484.98148623494711</c:v>
                </c:pt>
                <c:pt idx="24">
                  <c:v>561.77287863771949</c:v>
                </c:pt>
                <c:pt idx="25">
                  <c:v>638.65045633739521</c:v>
                </c:pt>
                <c:pt idx="26">
                  <c:v>715.54555725763885</c:v>
                </c:pt>
                <c:pt idx="27">
                  <c:v>792.51280352766946</c:v>
                </c:pt>
                <c:pt idx="28">
                  <c:v>868.87164490751559</c:v>
                </c:pt>
                <c:pt idx="29">
                  <c:v>911.45079902052805</c:v>
                </c:pt>
              </c:numCache>
            </c:numRef>
          </c:xVal>
          <c:yVal>
            <c:numRef>
              <c:f>'3'!$O$2:$O$31</c:f>
              <c:numCache>
                <c:formatCode>General</c:formatCode>
                <c:ptCount val="30"/>
                <c:pt idx="0">
                  <c:v>-130.28329339440148</c:v>
                </c:pt>
                <c:pt idx="1">
                  <c:v>-119.30690910449462</c:v>
                </c:pt>
                <c:pt idx="2">
                  <c:v>-98.964896344431068</c:v>
                </c:pt>
                <c:pt idx="3">
                  <c:v>-77.354873410411912</c:v>
                </c:pt>
                <c:pt idx="4">
                  <c:v>-54.688184252218775</c:v>
                </c:pt>
                <c:pt idx="5">
                  <c:v>-30.919307468017028</c:v>
                </c:pt>
                <c:pt idx="6">
                  <c:v>-7.1939129725974382</c:v>
                </c:pt>
                <c:pt idx="7">
                  <c:v>14.130001620244935</c:v>
                </c:pt>
                <c:pt idx="8">
                  <c:v>32.038075660403557</c:v>
                </c:pt>
                <c:pt idx="9">
                  <c:v>44.37284253831622</c:v>
                </c:pt>
                <c:pt idx="10">
                  <c:v>50.819835719843582</c:v>
                </c:pt>
                <c:pt idx="11">
                  <c:v>47.614561665871449</c:v>
                </c:pt>
                <c:pt idx="12">
                  <c:v>34.01709661663952</c:v>
                </c:pt>
                <c:pt idx="13">
                  <c:v>17.735605234322264</c:v>
                </c:pt>
                <c:pt idx="14">
                  <c:v>6.8771477203410933</c:v>
                </c:pt>
                <c:pt idx="15">
                  <c:v>-1.9274111087017898</c:v>
                </c:pt>
                <c:pt idx="16">
                  <c:v>-12.75296687667648</c:v>
                </c:pt>
                <c:pt idx="17">
                  <c:v>-27.35667143340326</c:v>
                </c:pt>
                <c:pt idx="18">
                  <c:v>-49.562369320392712</c:v>
                </c:pt>
                <c:pt idx="19">
                  <c:v>-66.865101056264464</c:v>
                </c:pt>
                <c:pt idx="20">
                  <c:v>-80.045840818874623</c:v>
                </c:pt>
                <c:pt idx="21">
                  <c:v>-91.068403105539474</c:v>
                </c:pt>
                <c:pt idx="22">
                  <c:v>-100.09009405768063</c:v>
                </c:pt>
                <c:pt idx="23">
                  <c:v>-107.54727743923972</c:v>
                </c:pt>
                <c:pt idx="24">
                  <c:v>-113.77117319388458</c:v>
                </c:pt>
                <c:pt idx="25">
                  <c:v>-118.82339511162354</c:v>
                </c:pt>
                <c:pt idx="26">
                  <c:v>-123.06333446356854</c:v>
                </c:pt>
                <c:pt idx="27">
                  <c:v>-126.35217120129764</c:v>
                </c:pt>
                <c:pt idx="28">
                  <c:v>-129.05245637470205</c:v>
                </c:pt>
                <c:pt idx="29">
                  <c:v>-130.59466534767233</c:v>
                </c:pt>
              </c:numCache>
            </c:numRef>
          </c:yVal>
          <c:smooth val="1"/>
        </c:ser>
        <c:ser>
          <c:idx val="3"/>
          <c:order val="3"/>
          <c:spPr>
            <a:ln>
              <a:solidFill>
                <a:srgbClr val="4F81BD"/>
              </a:solidFill>
            </a:ln>
          </c:spPr>
          <c:marker>
            <c:symbol val="none"/>
          </c:marker>
          <c:xVal>
            <c:numRef>
              <c:f>'4'!$N$2:$N$31</c:f>
              <c:numCache>
                <c:formatCode>General</c:formatCode>
                <c:ptCount val="30"/>
                <c:pt idx="0">
                  <c:v>924.26308744241021</c:v>
                </c:pt>
                <c:pt idx="1">
                  <c:v>884.74453076429336</c:v>
                </c:pt>
                <c:pt idx="2">
                  <c:v>813.20638992094848</c:v>
                </c:pt>
                <c:pt idx="3">
                  <c:v>741.34525603031716</c:v>
                </c:pt>
                <c:pt idx="4">
                  <c:v>669.61606875895973</c:v>
                </c:pt>
                <c:pt idx="5">
                  <c:v>598.13433668935022</c:v>
                </c:pt>
                <c:pt idx="6">
                  <c:v>526.7561658862528</c:v>
                </c:pt>
                <c:pt idx="7">
                  <c:v>455.35575596912798</c:v>
                </c:pt>
                <c:pt idx="8">
                  <c:v>383.57290460873196</c:v>
                </c:pt>
                <c:pt idx="9">
                  <c:v>311.71790349282264</c:v>
                </c:pt>
                <c:pt idx="10">
                  <c:v>239.69160833862304</c:v>
                </c:pt>
                <c:pt idx="11">
                  <c:v>169.92412973894352</c:v>
                </c:pt>
                <c:pt idx="12">
                  <c:v>110.53492642968598</c:v>
                </c:pt>
                <c:pt idx="13">
                  <c:v>82.212377451113539</c:v>
                </c:pt>
                <c:pt idx="14">
                  <c:v>72.302872408930369</c:v>
                </c:pt>
                <c:pt idx="15">
                  <c:v>70.469393527724321</c:v>
                </c:pt>
                <c:pt idx="16">
                  <c:v>75.913645676244982</c:v>
                </c:pt>
                <c:pt idx="17">
                  <c:v>96.080146409668174</c:v>
                </c:pt>
                <c:pt idx="18">
                  <c:v>147.53372185397058</c:v>
                </c:pt>
                <c:pt idx="19">
                  <c:v>216.5805510163988</c:v>
                </c:pt>
                <c:pt idx="20">
                  <c:v>289.01882237393966</c:v>
                </c:pt>
                <c:pt idx="21">
                  <c:v>362.33558164101311</c:v>
                </c:pt>
                <c:pt idx="22">
                  <c:v>436.17685652420948</c:v>
                </c:pt>
                <c:pt idx="23">
                  <c:v>510.554279314528</c:v>
                </c:pt>
                <c:pt idx="24">
                  <c:v>585.15033294608918</c:v>
                </c:pt>
                <c:pt idx="25">
                  <c:v>659.84104015044989</c:v>
                </c:pt>
                <c:pt idx="26">
                  <c:v>734.55707298705238</c:v>
                </c:pt>
                <c:pt idx="27">
                  <c:v>809.33423318551877</c:v>
                </c:pt>
                <c:pt idx="28">
                  <c:v>883.4214150193709</c:v>
                </c:pt>
                <c:pt idx="29">
                  <c:v>924.199748238967</c:v>
                </c:pt>
              </c:numCache>
            </c:numRef>
          </c:xVal>
          <c:yVal>
            <c:numRef>
              <c:f>'4'!$O$2:$O$31</c:f>
              <c:numCache>
                <c:formatCode>General</c:formatCode>
                <c:ptCount val="30"/>
                <c:pt idx="0">
                  <c:v>-121.52739905616762</c:v>
                </c:pt>
                <c:pt idx="1">
                  <c:v>-111.23318171871017</c:v>
                </c:pt>
                <c:pt idx="2">
                  <c:v>-92.013844030388071</c:v>
                </c:pt>
                <c:pt idx="3">
                  <c:v>-71.725880888752769</c:v>
                </c:pt>
                <c:pt idx="4">
                  <c:v>-50.588138233538608</c:v>
                </c:pt>
                <c:pt idx="5">
                  <c:v>-28.568719930457245</c:v>
                </c:pt>
                <c:pt idx="6">
                  <c:v>-6.680626112698949</c:v>
                </c:pt>
                <c:pt idx="7">
                  <c:v>12.994043796623661</c:v>
                </c:pt>
                <c:pt idx="8">
                  <c:v>29.530328956021375</c:v>
                </c:pt>
                <c:pt idx="9">
                  <c:v>40.990610225381872</c:v>
                </c:pt>
                <c:pt idx="10">
                  <c:v>47.008606658155003</c:v>
                </c:pt>
                <c:pt idx="11">
                  <c:v>44.145763231878227</c:v>
                </c:pt>
                <c:pt idx="12">
                  <c:v>31.623938058473481</c:v>
                </c:pt>
                <c:pt idx="13">
                  <c:v>16.657096524986116</c:v>
                </c:pt>
                <c:pt idx="14">
                  <c:v>6.4141624986877996</c:v>
                </c:pt>
                <c:pt idx="15">
                  <c:v>-2.1158401481652369</c:v>
                </c:pt>
                <c:pt idx="16">
                  <c:v>-12.491340915536728</c:v>
                </c:pt>
                <c:pt idx="17">
                  <c:v>-26.361736262106831</c:v>
                </c:pt>
                <c:pt idx="18">
                  <c:v>-47.264938595569426</c:v>
                </c:pt>
                <c:pt idx="19">
                  <c:v>-63.701088010061341</c:v>
                </c:pt>
                <c:pt idx="20">
                  <c:v>-76.159382567060391</c:v>
                </c:pt>
                <c:pt idx="21">
                  <c:v>-86.462660650788521</c:v>
                </c:pt>
                <c:pt idx="22">
                  <c:v>-94.82209538701683</c:v>
                </c:pt>
                <c:pt idx="23">
                  <c:v>-101.66815260304931</c:v>
                </c:pt>
                <c:pt idx="24">
                  <c:v>-107.32495849371561</c:v>
                </c:pt>
                <c:pt idx="25">
                  <c:v>-111.86937990083759</c:v>
                </c:pt>
                <c:pt idx="26">
                  <c:v>-115.62577317158903</c:v>
                </c:pt>
                <c:pt idx="27">
                  <c:v>-118.47830158858724</c:v>
                </c:pt>
                <c:pt idx="28">
                  <c:v>-120.73760046940927</c:v>
                </c:pt>
                <c:pt idx="29">
                  <c:v>-121.98015223965965</c:v>
                </c:pt>
              </c:numCache>
            </c:numRef>
          </c:yVal>
          <c:smooth val="1"/>
        </c:ser>
        <c:ser>
          <c:idx val="4"/>
          <c:order val="4"/>
          <c:marker>
            <c:symbol val="none"/>
          </c:marker>
          <c:xVal>
            <c:numRef>
              <c:f>'5'!$N$2:$N$31</c:f>
              <c:numCache>
                <c:formatCode>General</c:formatCode>
                <c:ptCount val="30"/>
                <c:pt idx="0">
                  <c:v>941.71479174563183</c:v>
                </c:pt>
                <c:pt idx="1">
                  <c:v>904.35416256081862</c:v>
                </c:pt>
                <c:pt idx="2">
                  <c:v>835.77707737446508</c:v>
                </c:pt>
                <c:pt idx="3">
                  <c:v>766.73489659827658</c:v>
                </c:pt>
                <c:pt idx="4">
                  <c:v>697.78047107857196</c:v>
                </c:pt>
                <c:pt idx="5">
                  <c:v>629.0215873721836</c:v>
                </c:pt>
                <c:pt idx="6">
                  <c:v>560.35134616750065</c:v>
                </c:pt>
                <c:pt idx="7">
                  <c:v>491.68571930319979</c:v>
                </c:pt>
                <c:pt idx="8">
                  <c:v>422.73831332037304</c:v>
                </c:pt>
                <c:pt idx="9">
                  <c:v>353.80833181312335</c:v>
                </c:pt>
                <c:pt idx="10">
                  <c:v>284.87252834914409</c:v>
                </c:pt>
                <c:pt idx="11">
                  <c:v>218.25987383247093</c:v>
                </c:pt>
                <c:pt idx="12">
                  <c:v>162.47371556429124</c:v>
                </c:pt>
                <c:pt idx="13">
                  <c:v>136.14434643125281</c:v>
                </c:pt>
                <c:pt idx="14">
                  <c:v>126.80654954824328</c:v>
                </c:pt>
                <c:pt idx="15">
                  <c:v>125.1903606373198</c:v>
                </c:pt>
                <c:pt idx="16">
                  <c:v>130.64224248736681</c:v>
                </c:pt>
                <c:pt idx="17">
                  <c:v>149.98359555731028</c:v>
                </c:pt>
                <c:pt idx="18">
                  <c:v>198.95836406597971</c:v>
                </c:pt>
                <c:pt idx="19">
                  <c:v>264.89403669483568</c:v>
                </c:pt>
                <c:pt idx="20">
                  <c:v>334.14404063313316</c:v>
                </c:pt>
                <c:pt idx="21">
                  <c:v>404.3079931476056</c:v>
                </c:pt>
                <c:pt idx="22">
                  <c:v>475.00545192088811</c:v>
                </c:pt>
                <c:pt idx="23">
                  <c:v>546.2117231498778</c:v>
                </c:pt>
                <c:pt idx="24">
                  <c:v>617.63621465450251</c:v>
                </c:pt>
                <c:pt idx="25">
                  <c:v>689.15900974553404</c:v>
                </c:pt>
                <c:pt idx="26">
                  <c:v>760.71180865243548</c:v>
                </c:pt>
                <c:pt idx="27">
                  <c:v>832.31235847141659</c:v>
                </c:pt>
                <c:pt idx="28">
                  <c:v>903.15611818843365</c:v>
                </c:pt>
                <c:pt idx="29">
                  <c:v>941.6388047788447</c:v>
                </c:pt>
              </c:numCache>
            </c:numRef>
          </c:xVal>
          <c:yVal>
            <c:numRef>
              <c:f>'5'!$O$2:$O$31</c:f>
              <c:numCache>
                <c:formatCode>General</c:formatCode>
                <c:ptCount val="30"/>
                <c:pt idx="0">
                  <c:v>-109.14233766932568</c:v>
                </c:pt>
                <c:pt idx="1">
                  <c:v>-99.744961184936756</c:v>
                </c:pt>
                <c:pt idx="2">
                  <c:v>-82.067527937644712</c:v>
                </c:pt>
                <c:pt idx="3">
                  <c:v>-63.525654964348981</c:v>
                </c:pt>
                <c:pt idx="4">
                  <c:v>-44.338798166060769</c:v>
                </c:pt>
                <c:pt idx="5">
                  <c:v>-24.487874518774028</c:v>
                </c:pt>
                <c:pt idx="6">
                  <c:v>-4.8472596700947443</c:v>
                </c:pt>
                <c:pt idx="7">
                  <c:v>12.788947193878835</c:v>
                </c:pt>
                <c:pt idx="8">
                  <c:v>27.592796440445841</c:v>
                </c:pt>
                <c:pt idx="9">
                  <c:v>37.861329930152429</c:v>
                </c:pt>
                <c:pt idx="10">
                  <c:v>43.186846083079068</c:v>
                </c:pt>
                <c:pt idx="11">
                  <c:v>40.493107467038485</c:v>
                </c:pt>
                <c:pt idx="12">
                  <c:v>29.011585615611821</c:v>
                </c:pt>
                <c:pt idx="13">
                  <c:v>15.427462937543963</c:v>
                </c:pt>
                <c:pt idx="14">
                  <c:v>5.8892973162646669</c:v>
                </c:pt>
                <c:pt idx="15">
                  <c:v>-2.2556843710930323</c:v>
                </c:pt>
                <c:pt idx="16">
                  <c:v>-12.033127967437677</c:v>
                </c:pt>
                <c:pt idx="17">
                  <c:v>-24.950194526597649</c:v>
                </c:pt>
                <c:pt idx="18">
                  <c:v>-44.179984230424076</c:v>
                </c:pt>
                <c:pt idx="19">
                  <c:v>-59.365293930254985</c:v>
                </c:pt>
                <c:pt idx="20">
                  <c:v>-70.758282667632855</c:v>
                </c:pt>
                <c:pt idx="21">
                  <c:v>-80.029691437153389</c:v>
                </c:pt>
                <c:pt idx="22">
                  <c:v>-87.438716432003858</c:v>
                </c:pt>
                <c:pt idx="23">
                  <c:v>-93.404043893384639</c:v>
                </c:pt>
                <c:pt idx="24">
                  <c:v>-98.238838378346188</c:v>
                </c:pt>
                <c:pt idx="25">
                  <c:v>-102.0332181839614</c:v>
                </c:pt>
                <c:pt idx="26">
                  <c:v>-105.07426155632598</c:v>
                </c:pt>
                <c:pt idx="27">
                  <c:v>-107.26932892507024</c:v>
                </c:pt>
                <c:pt idx="28">
                  <c:v>-108.87943709050099</c:v>
                </c:pt>
                <c:pt idx="29">
                  <c:v>-109.71903238657151</c:v>
                </c:pt>
              </c:numCache>
            </c:numRef>
          </c:yVal>
          <c:smooth val="1"/>
        </c:ser>
        <c:ser>
          <c:idx val="5"/>
          <c:order val="5"/>
          <c:spPr>
            <a:ln>
              <a:solidFill>
                <a:srgbClr val="4F81BD"/>
              </a:solidFill>
            </a:ln>
          </c:spPr>
          <c:marker>
            <c:symbol val="none"/>
          </c:marker>
          <c:xVal>
            <c:numRef>
              <c:f>'6'!$N$2:$N$31</c:f>
              <c:numCache>
                <c:formatCode>General</c:formatCode>
                <c:ptCount val="30"/>
                <c:pt idx="0">
                  <c:v>963.85058417027415</c:v>
                </c:pt>
                <c:pt idx="1">
                  <c:v>929.09166579633029</c:v>
                </c:pt>
                <c:pt idx="2">
                  <c:v>864.38936692030529</c:v>
                </c:pt>
                <c:pt idx="3">
                  <c:v>799.10335475544287</c:v>
                </c:pt>
                <c:pt idx="4">
                  <c:v>733.86504458082186</c:v>
                </c:pt>
                <c:pt idx="5">
                  <c:v>668.77347351616243</c:v>
                </c:pt>
                <c:pt idx="6">
                  <c:v>603.75765015479283</c:v>
                </c:pt>
                <c:pt idx="7">
                  <c:v>538.77405137905453</c:v>
                </c:pt>
                <c:pt idx="8">
                  <c:v>473.60906571089697</c:v>
                </c:pt>
                <c:pt idx="9">
                  <c:v>408.54854277576413</c:v>
                </c:pt>
                <c:pt idx="10">
                  <c:v>343.63995765091664</c:v>
                </c:pt>
                <c:pt idx="11">
                  <c:v>281.08371576101638</c:v>
                </c:pt>
                <c:pt idx="12">
                  <c:v>229.57479790742622</c:v>
                </c:pt>
                <c:pt idx="13">
                  <c:v>205.54075856077435</c:v>
                </c:pt>
                <c:pt idx="14">
                  <c:v>196.90893351489711</c:v>
                </c:pt>
                <c:pt idx="15">
                  <c:v>195.53992343618754</c:v>
                </c:pt>
                <c:pt idx="16">
                  <c:v>200.92374445593759</c:v>
                </c:pt>
                <c:pt idx="17">
                  <c:v>219.20075665324833</c:v>
                </c:pt>
                <c:pt idx="18">
                  <c:v>265.09534288004289</c:v>
                </c:pt>
                <c:pt idx="19">
                  <c:v>327.06588625736049</c:v>
                </c:pt>
                <c:pt idx="20">
                  <c:v>392.21052678439838</c:v>
                </c:pt>
                <c:pt idx="21">
                  <c:v>458.27718896893253</c:v>
                </c:pt>
                <c:pt idx="22">
                  <c:v>524.87038860007601</c:v>
                </c:pt>
                <c:pt idx="23">
                  <c:v>591.93458035304059</c:v>
                </c:pt>
                <c:pt idx="24">
                  <c:v>659.20958684048605</c:v>
                </c:pt>
                <c:pt idx="25">
                  <c:v>726.58188058597761</c:v>
                </c:pt>
                <c:pt idx="26">
                  <c:v>793.98572176973221</c:v>
                </c:pt>
                <c:pt idx="27">
                  <c:v>861.42239590318457</c:v>
                </c:pt>
                <c:pt idx="28">
                  <c:v>928.0541980878404</c:v>
                </c:pt>
                <c:pt idx="29">
                  <c:v>963.76884118666601</c:v>
                </c:pt>
              </c:numCache>
            </c:numRef>
          </c:xVal>
          <c:yVal>
            <c:numRef>
              <c:f>'6'!$O$2:$O$31</c:f>
              <c:numCache>
                <c:formatCode>General</c:formatCode>
                <c:ptCount val="30"/>
                <c:pt idx="0">
                  <c:v>-93.70638355804131</c:v>
                </c:pt>
                <c:pt idx="1">
                  <c:v>-85.385089768823633</c:v>
                </c:pt>
                <c:pt idx="2">
                  <c:v>-69.615018465541027</c:v>
                </c:pt>
                <c:pt idx="3">
                  <c:v>-53.183621285572947</c:v>
                </c:pt>
                <c:pt idx="4">
                  <c:v>-36.303079709215901</c:v>
                </c:pt>
                <c:pt idx="5">
                  <c:v>-18.965882020913927</c:v>
                </c:pt>
                <c:pt idx="6">
                  <c:v>-1.9057146099904549</c:v>
                </c:pt>
                <c:pt idx="7">
                  <c:v>13.375079530749744</c:v>
                </c:pt>
                <c:pt idx="8">
                  <c:v>26.151113907494697</c:v>
                </c:pt>
                <c:pt idx="9">
                  <c:v>34.96219760066618</c:v>
                </c:pt>
                <c:pt idx="10">
                  <c:v>39.3724078747506</c:v>
                </c:pt>
                <c:pt idx="11">
                  <c:v>36.693986487251991</c:v>
                </c:pt>
                <c:pt idx="12">
                  <c:v>26.218944241830659</c:v>
                </c:pt>
                <c:pt idx="13">
                  <c:v>14.065755832575308</c:v>
                </c:pt>
                <c:pt idx="14">
                  <c:v>5.3127783333897325</c:v>
                </c:pt>
                <c:pt idx="15">
                  <c:v>-2.3374763832512673</c:v>
                </c:pt>
                <c:pt idx="16">
                  <c:v>-11.377024049566074</c:v>
                </c:pt>
                <c:pt idx="17">
                  <c:v>-23.143722779140585</c:v>
                </c:pt>
                <c:pt idx="18">
                  <c:v>-40.382097831317566</c:v>
                </c:pt>
                <c:pt idx="19">
                  <c:v>-53.979367632454341</c:v>
                </c:pt>
                <c:pt idx="20">
                  <c:v>-64.01055656119631</c:v>
                </c:pt>
                <c:pt idx="21">
                  <c:v>-71.985779788837547</c:v>
                </c:pt>
                <c:pt idx="22">
                  <c:v>-78.204229141294363</c:v>
                </c:pt>
                <c:pt idx="23">
                  <c:v>-83.066953297402165</c:v>
                </c:pt>
                <c:pt idx="24">
                  <c:v>-86.872037879128669</c:v>
                </c:pt>
                <c:pt idx="25">
                  <c:v>-89.720145251453403</c:v>
                </c:pt>
                <c:pt idx="26">
                  <c:v>-91.859850150555005</c:v>
                </c:pt>
                <c:pt idx="27">
                  <c:v>-93.22126180600749</c:v>
                </c:pt>
                <c:pt idx="28">
                  <c:v>-94.019958718691797</c:v>
                </c:pt>
                <c:pt idx="29">
                  <c:v>-94.383762217937843</c:v>
                </c:pt>
              </c:numCache>
            </c:numRef>
          </c:yVal>
          <c:smooth val="1"/>
        </c:ser>
        <c:ser>
          <c:idx val="6"/>
          <c:order val="6"/>
          <c:marker>
            <c:symbol val="none"/>
          </c:marker>
          <c:xVal>
            <c:numRef>
              <c:f>'7'!$N$2:$N$31</c:f>
              <c:numCache>
                <c:formatCode>General</c:formatCode>
                <c:ptCount val="30"/>
                <c:pt idx="0">
                  <c:v>990.67020239569968</c:v>
                </c:pt>
                <c:pt idx="1">
                  <c:v>958.94183793289176</c:v>
                </c:pt>
                <c:pt idx="2">
                  <c:v>899.03934370448792</c:v>
                </c:pt>
                <c:pt idx="3">
                  <c:v>838.46533147613673</c:v>
                </c:pt>
                <c:pt idx="4">
                  <c:v>777.90562065263828</c:v>
                </c:pt>
                <c:pt idx="5">
                  <c:v>717.44964281312218</c:v>
                </c:pt>
                <c:pt idx="6">
                  <c:v>657.05917063984725</c:v>
                </c:pt>
                <c:pt idx="7">
                  <c:v>596.72678773700852</c:v>
                </c:pt>
                <c:pt idx="8">
                  <c:v>536.30760889121802</c:v>
                </c:pt>
                <c:pt idx="9">
                  <c:v>476.07036589818836</c:v>
                </c:pt>
                <c:pt idx="10">
                  <c:v>416.12515915809001</c:v>
                </c:pt>
                <c:pt idx="11">
                  <c:v>358.51407266491259</c:v>
                </c:pt>
                <c:pt idx="12">
                  <c:v>311.90197953567349</c:v>
                </c:pt>
                <c:pt idx="13">
                  <c:v>290.42221144448064</c:v>
                </c:pt>
                <c:pt idx="14">
                  <c:v>282.61810522083249</c:v>
                </c:pt>
                <c:pt idx="15">
                  <c:v>281.51612527033058</c:v>
                </c:pt>
                <c:pt idx="16">
                  <c:v>286.74115789087006</c:v>
                </c:pt>
                <c:pt idx="17">
                  <c:v>303.70639443329242</c:v>
                </c:pt>
                <c:pt idx="18">
                  <c:v>345.92116020597467</c:v>
                </c:pt>
                <c:pt idx="19">
                  <c:v>403.07348703894246</c:v>
                </c:pt>
                <c:pt idx="20">
                  <c:v>463.19602424280822</c:v>
                </c:pt>
                <c:pt idx="21">
                  <c:v>524.21924414649061</c:v>
                </c:pt>
                <c:pt idx="22">
                  <c:v>585.74578761232488</c:v>
                </c:pt>
                <c:pt idx="23">
                  <c:v>647.695994844388</c:v>
                </c:pt>
                <c:pt idx="24">
                  <c:v>709.84288014424465</c:v>
                </c:pt>
                <c:pt idx="25">
                  <c:v>772.08168964375955</c:v>
                </c:pt>
                <c:pt idx="26">
                  <c:v>834.35061659405051</c:v>
                </c:pt>
                <c:pt idx="27">
                  <c:v>896.6368646969587</c:v>
                </c:pt>
                <c:pt idx="28">
                  <c:v>958.0929967746963</c:v>
                </c:pt>
                <c:pt idx="29">
                  <c:v>990.59043346211195</c:v>
                </c:pt>
              </c:numCache>
            </c:numRef>
          </c:xVal>
          <c:yVal>
            <c:numRef>
              <c:f>'7'!$O$2:$O$31</c:f>
              <c:numCache>
                <c:formatCode>General</c:formatCode>
                <c:ptCount val="30"/>
                <c:pt idx="0">
                  <c:v>-75.9803431992502</c:v>
                </c:pt>
                <c:pt idx="1">
                  <c:v>-68.871912574498694</c:v>
                </c:pt>
                <c:pt idx="2">
                  <c:v>-55.304865367453992</c:v>
                </c:pt>
                <c:pt idx="3">
                  <c:v>-41.272211176207811</c:v>
                </c:pt>
                <c:pt idx="4">
                  <c:v>-26.970492104916371</c:v>
                </c:pt>
                <c:pt idx="5">
                  <c:v>-12.402124443718996</c:v>
                </c:pt>
                <c:pt idx="6">
                  <c:v>1.838069557687479</c:v>
                </c:pt>
                <c:pt idx="7">
                  <c:v>14.534969130863344</c:v>
                </c:pt>
                <c:pt idx="8">
                  <c:v>25.069159156058632</c:v>
                </c:pt>
                <c:pt idx="9">
                  <c:v>32.22464026028927</c:v>
                </c:pt>
                <c:pt idx="10">
                  <c:v>35.552977369411174</c:v>
                </c:pt>
                <c:pt idx="11">
                  <c:v>32.770407216619638</c:v>
                </c:pt>
                <c:pt idx="12">
                  <c:v>23.279210596761732</c:v>
                </c:pt>
                <c:pt idx="13">
                  <c:v>12.589253436930539</c:v>
                </c:pt>
                <c:pt idx="14">
                  <c:v>4.6946749931385421</c:v>
                </c:pt>
                <c:pt idx="15">
                  <c:v>-2.3522606608007517</c:v>
                </c:pt>
                <c:pt idx="16">
                  <c:v>-10.524454080965734</c:v>
                </c:pt>
                <c:pt idx="17">
                  <c:v>-20.971412235048959</c:v>
                </c:pt>
                <c:pt idx="18">
                  <c:v>-35.963611290975933</c:v>
                </c:pt>
                <c:pt idx="19">
                  <c:v>-47.69740772136165</c:v>
                </c:pt>
                <c:pt idx="20">
                  <c:v>-56.132223216483872</c:v>
                </c:pt>
                <c:pt idx="21">
                  <c:v>-62.611056980951616</c:v>
                </c:pt>
                <c:pt idx="22">
                  <c:v>-67.462741755606388</c:v>
                </c:pt>
                <c:pt idx="23">
                  <c:v>-71.064761085437766</c:v>
                </c:pt>
                <c:pt idx="24">
                  <c:v>-73.695744838198607</c:v>
                </c:pt>
                <c:pt idx="25">
                  <c:v>-75.46347657002525</c:v>
                </c:pt>
                <c:pt idx="26">
                  <c:v>-76.577783441676402</c:v>
                </c:pt>
                <c:pt idx="27">
                  <c:v>-76.99038228983278</c:v>
                </c:pt>
                <c:pt idx="28">
                  <c:v>-76.876995156426176</c:v>
                </c:pt>
                <c:pt idx="29">
                  <c:v>-76.729446192622802</c:v>
                </c:pt>
              </c:numCache>
            </c:numRef>
          </c:yVal>
          <c:smooth val="1"/>
        </c:ser>
        <c:ser>
          <c:idx val="7"/>
          <c:order val="7"/>
          <c:spPr>
            <a:ln>
              <a:solidFill>
                <a:srgbClr val="4F81BD"/>
              </a:solidFill>
            </a:ln>
          </c:spPr>
          <c:marker>
            <c:symbol val="none"/>
          </c:marker>
          <c:xVal>
            <c:numRef>
              <c:f>'8'!$N$2:$N$31</c:f>
              <c:numCache>
                <c:formatCode>General</c:formatCode>
                <c:ptCount val="30"/>
                <c:pt idx="0">
                  <c:v>1022.1737287468287</c:v>
                </c:pt>
                <c:pt idx="1">
                  <c:v>993.89059941617404</c:v>
                </c:pt>
                <c:pt idx="2">
                  <c:v>939.72567236238081</c:v>
                </c:pt>
                <c:pt idx="3">
                  <c:v>884.83903370134044</c:v>
                </c:pt>
                <c:pt idx="4">
                  <c:v>829.94190630706908</c:v>
                </c:pt>
                <c:pt idx="5">
                  <c:v>775.11338721917582</c:v>
                </c:pt>
                <c:pt idx="6">
                  <c:v>720.34300978579404</c:v>
                </c:pt>
                <c:pt idx="7">
                  <c:v>665.65233795300787</c:v>
                </c:pt>
                <c:pt idx="8">
                  <c:v>610.95819857310994</c:v>
                </c:pt>
                <c:pt idx="9">
                  <c:v>556.50715467911903</c:v>
                </c:pt>
                <c:pt idx="10">
                  <c:v>502.46062575969597</c:v>
                </c:pt>
                <c:pt idx="11">
                  <c:v>450.67042216295977</c:v>
                </c:pt>
                <c:pt idx="12">
                  <c:v>409.52020257980053</c:v>
                </c:pt>
                <c:pt idx="13">
                  <c:v>390.81073253418378</c:v>
                </c:pt>
                <c:pt idx="14">
                  <c:v>383.94247833441648</c:v>
                </c:pt>
                <c:pt idx="15">
                  <c:v>383.11554491388955</c:v>
                </c:pt>
                <c:pt idx="16">
                  <c:v>388.07442152686008</c:v>
                </c:pt>
                <c:pt idx="17">
                  <c:v>403.4705297146748</c:v>
                </c:pt>
                <c:pt idx="18">
                  <c:v>441.40582216660709</c:v>
                </c:pt>
                <c:pt idx="19">
                  <c:v>492.88602876223115</c:v>
                </c:pt>
                <c:pt idx="20">
                  <c:v>547.06925943480189</c:v>
                </c:pt>
                <c:pt idx="21">
                  <c:v>602.10118993398578</c:v>
                </c:pt>
                <c:pt idx="22">
                  <c:v>657.59717260916773</c:v>
                </c:pt>
                <c:pt idx="23">
                  <c:v>713.46128366046992</c:v>
                </c:pt>
                <c:pt idx="24">
                  <c:v>769.50171412860016</c:v>
                </c:pt>
                <c:pt idx="25">
                  <c:v>825.62483405959006</c:v>
                </c:pt>
                <c:pt idx="26">
                  <c:v>881.77400984501173</c:v>
                </c:pt>
                <c:pt idx="27">
                  <c:v>937.92546783876321</c:v>
                </c:pt>
                <c:pt idx="28">
                  <c:v>993.24866846201712</c:v>
                </c:pt>
                <c:pt idx="29">
                  <c:v>1022.1037675569678</c:v>
                </c:pt>
              </c:numCache>
            </c:numRef>
          </c:xVal>
          <c:yVal>
            <c:numRef>
              <c:f>'8'!$O$2:$O$31</c:f>
              <c:numCache>
                <c:formatCode>General</c:formatCode>
                <c:ptCount val="30"/>
                <c:pt idx="0">
                  <c:v>-56.908008590383282</c:v>
                </c:pt>
                <c:pt idx="1">
                  <c:v>-51.100317607351229</c:v>
                </c:pt>
                <c:pt idx="2">
                  <c:v>-39.946159039196445</c:v>
                </c:pt>
                <c:pt idx="3">
                  <c:v>-28.507835001731959</c:v>
                </c:pt>
                <c:pt idx="4">
                  <c:v>-16.958042665826341</c:v>
                </c:pt>
                <c:pt idx="5">
                  <c:v>-5.3071109174537607</c:v>
                </c:pt>
                <c:pt idx="6">
                  <c:v>5.9833005116989346</c:v>
                </c:pt>
                <c:pt idx="7">
                  <c:v>15.972581755500208</c:v>
                </c:pt>
                <c:pt idx="8">
                  <c:v>24.148443011677401</c:v>
                </c:pt>
                <c:pt idx="9">
                  <c:v>29.533920276371092</c:v>
                </c:pt>
                <c:pt idx="10">
                  <c:v>31.685904981038831</c:v>
                </c:pt>
                <c:pt idx="11">
                  <c:v>28.729180722920752</c:v>
                </c:pt>
                <c:pt idx="12">
                  <c:v>20.219706817846586</c:v>
                </c:pt>
                <c:pt idx="13">
                  <c:v>11.013150041486057</c:v>
                </c:pt>
                <c:pt idx="14">
                  <c:v>4.0447892142169719</c:v>
                </c:pt>
                <c:pt idx="15">
                  <c:v>-2.2916469483896682</c:v>
                </c:pt>
                <c:pt idx="16">
                  <c:v>-9.4796529295396113</c:v>
                </c:pt>
                <c:pt idx="17">
                  <c:v>-18.469626443335706</c:v>
                </c:pt>
                <c:pt idx="18">
                  <c:v>-31.033837132282386</c:v>
                </c:pt>
                <c:pt idx="19">
                  <c:v>-40.704990276864031</c:v>
                </c:pt>
                <c:pt idx="20">
                  <c:v>-47.386309634880412</c:v>
                </c:pt>
                <c:pt idx="21">
                  <c:v>-52.248601864594725</c:v>
                </c:pt>
                <c:pt idx="22">
                  <c:v>-55.637476404798967</c:v>
                </c:pt>
                <c:pt idx="23">
                  <c:v>-57.900714310853083</c:v>
                </c:pt>
                <c:pt idx="24">
                  <c:v>-59.29284907181696</c:v>
                </c:pt>
                <c:pt idx="25">
                  <c:v>-59.924637496373663</c:v>
                </c:pt>
                <c:pt idx="26">
                  <c:v>-59.967844479974936</c:v>
                </c:pt>
                <c:pt idx="27">
                  <c:v>-59.393919056459715</c:v>
                </c:pt>
                <c:pt idx="28">
                  <c:v>-58.345115019231599</c:v>
                </c:pt>
                <c:pt idx="29">
                  <c:v>-57.694297795682054</c:v>
                </c:pt>
              </c:numCache>
            </c:numRef>
          </c:yVal>
          <c:smooth val="1"/>
        </c:ser>
        <c:ser>
          <c:idx val="8"/>
          <c:order val="8"/>
          <c:spPr>
            <a:ln>
              <a:solidFill>
                <a:srgbClr val="4F81BD"/>
              </a:solidFill>
            </a:ln>
          </c:spPr>
          <c:marker>
            <c:symbol val="none"/>
          </c:marker>
          <c:xVal>
            <c:numRef>
              <c:f>'9'!$N$2:$N$31</c:f>
              <c:numCache>
                <c:formatCode>General</c:formatCode>
                <c:ptCount val="30"/>
                <c:pt idx="0">
                  <c:v>1058.3616720278719</c:v>
                </c:pt>
                <c:pt idx="1">
                  <c:v>1033.9250913374069</c:v>
                </c:pt>
                <c:pt idx="2">
                  <c:v>986.44971138239453</c:v>
                </c:pt>
                <c:pt idx="3">
                  <c:v>938.24611413077196</c:v>
                </c:pt>
                <c:pt idx="4">
                  <c:v>890.01705731441325</c:v>
                </c:pt>
                <c:pt idx="5">
                  <c:v>841.83064297225405</c:v>
                </c:pt>
                <c:pt idx="6">
                  <c:v>793.69759893904006</c:v>
                </c:pt>
                <c:pt idx="7">
                  <c:v>745.65922054633893</c:v>
                </c:pt>
                <c:pt idx="8">
                  <c:v>697.68420594956478</c:v>
                </c:pt>
                <c:pt idx="9">
                  <c:v>649.99096243327483</c:v>
                </c:pt>
                <c:pt idx="10">
                  <c:v>602.77735784360834</c:v>
                </c:pt>
                <c:pt idx="11">
                  <c:v>557.6710846020103</c:v>
                </c:pt>
                <c:pt idx="12">
                  <c:v>522.4942523536314</c:v>
                </c:pt>
                <c:pt idx="13">
                  <c:v>506.72938618300702</c:v>
                </c:pt>
                <c:pt idx="14">
                  <c:v>500.89060337081094</c:v>
                </c:pt>
                <c:pt idx="15">
                  <c:v>500.33297980334203</c:v>
                </c:pt>
                <c:pt idx="16">
                  <c:v>504.90005763314241</c:v>
                </c:pt>
                <c:pt idx="17">
                  <c:v>518.45809802242934</c:v>
                </c:pt>
                <c:pt idx="18">
                  <c:v>551.51259483094839</c:v>
                </c:pt>
                <c:pt idx="19">
                  <c:v>596.46406990138007</c:v>
                </c:pt>
                <c:pt idx="20">
                  <c:v>643.78937187583813</c:v>
                </c:pt>
                <c:pt idx="21">
                  <c:v>691.8804296135736</c:v>
                </c:pt>
                <c:pt idx="22">
                  <c:v>740.38091595502885</c:v>
                </c:pt>
                <c:pt idx="23">
                  <c:v>789.18743496635261</c:v>
                </c:pt>
                <c:pt idx="24">
                  <c:v>838.14446279853348</c:v>
                </c:pt>
                <c:pt idx="25">
                  <c:v>887.17169888445756</c:v>
                </c:pt>
                <c:pt idx="26">
                  <c:v>936.21883688952016</c:v>
                </c:pt>
                <c:pt idx="27">
                  <c:v>985.25487048497848</c:v>
                </c:pt>
                <c:pt idx="28">
                  <c:v>1033.4960524770941</c:v>
                </c:pt>
                <c:pt idx="29">
                  <c:v>1058.3085369756118</c:v>
                </c:pt>
              </c:numCache>
            </c:numRef>
          </c:xVal>
          <c:yVal>
            <c:numRef>
              <c:f>'9'!$O$2:$O$31</c:f>
              <c:numCache>
                <c:formatCode>General</c:formatCode>
                <c:ptCount val="30"/>
                <c:pt idx="0">
                  <c:v>-37.623345124355346</c:v>
                </c:pt>
                <c:pt idx="1">
                  <c:v>-33.14923104772415</c:v>
                </c:pt>
                <c:pt idx="2">
                  <c:v>-24.515499632491341</c:v>
                </c:pt>
                <c:pt idx="3">
                  <c:v>-15.757191203002755</c:v>
                </c:pt>
                <c:pt idx="4">
                  <c:v>-7.015888382532312</c:v>
                </c:pt>
                <c:pt idx="5">
                  <c:v>1.6925246448933842</c:v>
                </c:pt>
                <c:pt idx="6">
                  <c:v>10.029992312234373</c:v>
                </c:pt>
                <c:pt idx="7">
                  <c:v>17.309681611129879</c:v>
                </c:pt>
                <c:pt idx="8">
                  <c:v>23.125187623054419</c:v>
                </c:pt>
                <c:pt idx="9">
                  <c:v>26.727011388621108</c:v>
                </c:pt>
                <c:pt idx="10">
                  <c:v>27.69688191107835</c:v>
                </c:pt>
                <c:pt idx="11">
                  <c:v>24.561482082784142</c:v>
                </c:pt>
                <c:pt idx="12">
                  <c:v>17.061472074813611</c:v>
                </c:pt>
                <c:pt idx="13">
                  <c:v>9.3501544506724485</c:v>
                </c:pt>
                <c:pt idx="14">
                  <c:v>3.3725353360796952</c:v>
                </c:pt>
                <c:pt idx="15">
                  <c:v>-2.1478323208920016</c:v>
                </c:pt>
                <c:pt idx="16">
                  <c:v>-8.2497429443639518</c:v>
                </c:pt>
                <c:pt idx="17">
                  <c:v>-15.681991062991546</c:v>
                </c:pt>
                <c:pt idx="18">
                  <c:v>-25.718812276179346</c:v>
                </c:pt>
                <c:pt idx="19">
                  <c:v>-33.21920602402075</c:v>
                </c:pt>
                <c:pt idx="20">
                  <c:v>-38.083416367855349</c:v>
                </c:pt>
                <c:pt idx="21">
                  <c:v>-41.305681006412108</c:v>
                </c:pt>
                <c:pt idx="22">
                  <c:v>-43.232779234814757</c:v>
                </c:pt>
                <c:pt idx="23">
                  <c:v>-44.176250712063265</c:v>
                </c:pt>
                <c:pt idx="24">
                  <c:v>-44.361626305828104</c:v>
                </c:pt>
                <c:pt idx="25">
                  <c:v>-43.897750431794357</c:v>
                </c:pt>
                <c:pt idx="26">
                  <c:v>-42.919873452528563</c:v>
                </c:pt>
                <c:pt idx="27">
                  <c:v>-41.416512669828123</c:v>
                </c:pt>
                <c:pt idx="28">
                  <c:v>-39.502930976742888</c:v>
                </c:pt>
                <c:pt idx="29">
                  <c:v>-38.40681567999637</c:v>
                </c:pt>
              </c:numCache>
            </c:numRef>
          </c:yVal>
          <c:smooth val="1"/>
        </c:ser>
        <c:ser>
          <c:idx val="9"/>
          <c:order val="9"/>
          <c:spPr>
            <a:ln>
              <a:solidFill>
                <a:srgbClr val="4F81BD"/>
              </a:solidFill>
            </a:ln>
          </c:spPr>
          <c:marker>
            <c:symbol val="none"/>
          </c:marker>
          <c:xVal>
            <c:numRef>
              <c:f>'10'!$N$2:$N$31</c:f>
              <c:numCache>
                <c:formatCode>General</c:formatCode>
                <c:ptCount val="30"/>
                <c:pt idx="0">
                  <c:v>1099.2350679131191</c:v>
                </c:pt>
                <c:pt idx="1">
                  <c:v>1079.0338589747278</c:v>
                </c:pt>
                <c:pt idx="2">
                  <c:v>1039.2158412722263</c:v>
                </c:pt>
                <c:pt idx="3">
                  <c:v>998.71193404076655</c:v>
                </c:pt>
                <c:pt idx="4">
                  <c:v>958.17766260614542</c:v>
                </c:pt>
                <c:pt idx="5">
                  <c:v>917.66946735470651</c:v>
                </c:pt>
                <c:pt idx="6">
                  <c:v>877.21154062667154</c:v>
                </c:pt>
                <c:pt idx="7">
                  <c:v>836.85435114113432</c:v>
                </c:pt>
                <c:pt idx="8">
                  <c:v>796.60599156411388</c:v>
                </c:pt>
                <c:pt idx="9">
                  <c:v>756.65027933458146</c:v>
                </c:pt>
                <c:pt idx="10">
                  <c:v>717.2026604065303</c:v>
                </c:pt>
                <c:pt idx="11">
                  <c:v>679.63143380709084</c:v>
                </c:pt>
                <c:pt idx="12">
                  <c:v>650.88776065739182</c:v>
                </c:pt>
                <c:pt idx="13">
                  <c:v>638.20206784301865</c:v>
                </c:pt>
                <c:pt idx="14">
                  <c:v>633.47103104496477</c:v>
                </c:pt>
                <c:pt idx="15">
                  <c:v>633.16104575332781</c:v>
                </c:pt>
                <c:pt idx="16">
                  <c:v>637.19060088105095</c:v>
                </c:pt>
                <c:pt idx="17">
                  <c:v>648.62823472174659</c:v>
                </c:pt>
                <c:pt idx="18">
                  <c:v>676.19721496359591</c:v>
                </c:pt>
                <c:pt idx="19">
                  <c:v>713.7584351375433</c:v>
                </c:pt>
                <c:pt idx="20">
                  <c:v>753.30462245813555</c:v>
                </c:pt>
                <c:pt idx="21">
                  <c:v>793.50343226702921</c:v>
                </c:pt>
                <c:pt idx="22">
                  <c:v>834.04299821345512</c:v>
                </c:pt>
                <c:pt idx="23">
                  <c:v>874.82198063910027</c:v>
                </c:pt>
                <c:pt idx="24">
                  <c:v>915.72127550820994</c:v>
                </c:pt>
                <c:pt idx="25">
                  <c:v>956.67583573999354</c:v>
                </c:pt>
                <c:pt idx="26">
                  <c:v>997.64281814905576</c:v>
                </c:pt>
                <c:pt idx="27">
                  <c:v>1038.5882594867112</c:v>
                </c:pt>
                <c:pt idx="28">
                  <c:v>1078.8084589504522</c:v>
                </c:pt>
                <c:pt idx="29">
                  <c:v>1099.2026800794818</c:v>
                </c:pt>
              </c:numCache>
            </c:numRef>
          </c:xVal>
          <c:yVal>
            <c:numRef>
              <c:f>'10'!$O$2:$O$31</c:f>
              <c:numCache>
                <c:formatCode>General</c:formatCode>
                <c:ptCount val="30"/>
                <c:pt idx="0">
                  <c:v>-19.473382365562838</c:v>
                </c:pt>
                <c:pt idx="1">
                  <c:v>-16.304177613731238</c:v>
                </c:pt>
                <c:pt idx="2">
                  <c:v>-10.177718147069262</c:v>
                </c:pt>
                <c:pt idx="3">
                  <c:v>-4.0559630524436603</c:v>
                </c:pt>
                <c:pt idx="4">
                  <c:v>1.9560125436562872</c:v>
                </c:pt>
                <c:pt idx="5">
                  <c:v>7.8394371356548627</c:v>
                </c:pt>
                <c:pt idx="6">
                  <c:v>13.366459480303682</c:v>
                </c:pt>
                <c:pt idx="7">
                  <c:v>18.07544245422249</c:v>
                </c:pt>
                <c:pt idx="8">
                  <c:v>21.662054269376643</c:v>
                </c:pt>
                <c:pt idx="9">
                  <c:v>23.586491186223217</c:v>
                </c:pt>
                <c:pt idx="10">
                  <c:v>23.475965038502391</c:v>
                </c:pt>
                <c:pt idx="11">
                  <c:v>20.241001938963137</c:v>
                </c:pt>
                <c:pt idx="12">
                  <c:v>13.818321835600452</c:v>
                </c:pt>
                <c:pt idx="13">
                  <c:v>7.6099012396312045</c:v>
                </c:pt>
                <c:pt idx="14">
                  <c:v>2.686802794806908</c:v>
                </c:pt>
                <c:pt idx="15">
                  <c:v>-1.913590486481878</c:v>
                </c:pt>
                <c:pt idx="16">
                  <c:v>-6.8448883650698011</c:v>
                </c:pt>
                <c:pt idx="17">
                  <c:v>-12.659809124240219</c:v>
                </c:pt>
                <c:pt idx="18">
                  <c:v>-20.162345026940201</c:v>
                </c:pt>
                <c:pt idx="19">
                  <c:v>-25.49121182607092</c:v>
                </c:pt>
                <c:pt idx="20">
                  <c:v>-28.586101733392415</c:v>
                </c:pt>
                <c:pt idx="21">
                  <c:v>-30.260161064760862</c:v>
                </c:pt>
                <c:pt idx="22">
                  <c:v>-30.842682278858288</c:v>
                </c:pt>
                <c:pt idx="23">
                  <c:v>-30.60177015270926</c:v>
                </c:pt>
                <c:pt idx="24">
                  <c:v>-29.728776330820985</c:v>
                </c:pt>
                <c:pt idx="25">
                  <c:v>-28.324988590419004</c:v>
                </c:pt>
                <c:pt idx="26">
                  <c:v>-26.491470862749782</c:v>
                </c:pt>
                <c:pt idx="27">
                  <c:v>-24.230284700138853</c:v>
                </c:pt>
                <c:pt idx="28">
                  <c:v>-21.635403146349077</c:v>
                </c:pt>
                <c:pt idx="29">
                  <c:v>-20.235479094038798</c:v>
                </c:pt>
              </c:numCache>
            </c:numRef>
          </c:yVal>
          <c:smooth val="1"/>
        </c:ser>
        <c:ser>
          <c:idx val="10"/>
          <c:order val="10"/>
          <c:spPr>
            <a:ln>
              <a:solidFill>
                <a:srgbClr val="4F81BD"/>
              </a:solidFill>
            </a:ln>
          </c:spPr>
          <c:marker>
            <c:symbol val="none"/>
          </c:marker>
          <c:xVal>
            <c:numRef>
              <c:f>'11'!$N$2:$N$31</c:f>
              <c:numCache>
                <c:formatCode>General</c:formatCode>
                <c:ptCount val="30"/>
                <c:pt idx="0">
                  <c:v>1144.7956245006098</c:v>
                </c:pt>
                <c:pt idx="1">
                  <c:v>1129.2072439639048</c:v>
                </c:pt>
                <c:pt idx="2">
                  <c:v>1098.0323119488123</c:v>
                </c:pt>
                <c:pt idx="3">
                  <c:v>1066.2666102632825</c:v>
                </c:pt>
                <c:pt idx="4">
                  <c:v>1034.4747265928102</c:v>
                </c:pt>
                <c:pt idx="5">
                  <c:v>1002.70067155257</c:v>
                </c:pt>
                <c:pt idx="6">
                  <c:v>970.97371605596254</c:v>
                </c:pt>
                <c:pt idx="7">
                  <c:v>939.34267077074378</c:v>
                </c:pt>
                <c:pt idx="8">
                  <c:v>907.84015209350457</c:v>
                </c:pt>
                <c:pt idx="9">
                  <c:v>876.60912816265659</c:v>
                </c:pt>
                <c:pt idx="10">
                  <c:v>845.85919795299878</c:v>
                </c:pt>
                <c:pt idx="11">
                  <c:v>816.66314516208456</c:v>
                </c:pt>
                <c:pt idx="12">
                  <c:v>794.76292639443864</c:v>
                </c:pt>
                <c:pt idx="13">
                  <c:v>785.25375208092839</c:v>
                </c:pt>
                <c:pt idx="14">
                  <c:v>781.69231923889447</c:v>
                </c:pt>
                <c:pt idx="15">
                  <c:v>781.58957348045863</c:v>
                </c:pt>
                <c:pt idx="16">
                  <c:v>784.91348718505685</c:v>
                </c:pt>
                <c:pt idx="17">
                  <c:v>793.93265292226704</c:v>
                </c:pt>
                <c:pt idx="18">
                  <c:v>815.40577733392684</c:v>
                </c:pt>
                <c:pt idx="19">
                  <c:v>844.70748825530131</c:v>
                </c:pt>
                <c:pt idx="20">
                  <c:v>875.54934861009497</c:v>
                </c:pt>
                <c:pt idx="21">
                  <c:v>906.90267277994838</c:v>
                </c:pt>
                <c:pt idx="22">
                  <c:v>938.51609989833355</c:v>
                </c:pt>
                <c:pt idx="23">
                  <c:v>970.30034975970636</c:v>
                </c:pt>
                <c:pt idx="24">
                  <c:v>1002.1717750731971</c:v>
                </c:pt>
                <c:pt idx="25">
                  <c:v>1034.082050698722</c:v>
                </c:pt>
                <c:pt idx="26">
                  <c:v>1065.9970002047698</c:v>
                </c:pt>
                <c:pt idx="27">
                  <c:v>1097.8843712286359</c:v>
                </c:pt>
                <c:pt idx="28">
                  <c:v>1129.1572424612332</c:v>
                </c:pt>
                <c:pt idx="29">
                  <c:v>1144.7879144344865</c:v>
                </c:pt>
              </c:numCache>
            </c:numRef>
          </c:xVal>
          <c:yVal>
            <c:numRef>
              <c:f>'11'!$O$2:$O$31</c:f>
              <c:numCache>
                <c:formatCode>General</c:formatCode>
                <c:ptCount val="30"/>
                <c:pt idx="0">
                  <c:v>-4.0794700151756818</c:v>
                </c:pt>
                <c:pt idx="1">
                  <c:v>-2.1166728119534319</c:v>
                </c:pt>
                <c:pt idx="2">
                  <c:v>1.6598145051985671</c:v>
                </c:pt>
                <c:pt idx="3">
                  <c:v>5.3422538141029774</c:v>
                </c:pt>
                <c:pt idx="4">
                  <c:v>8.864410834704751</c:v>
                </c:pt>
                <c:pt idx="5">
                  <c:v>12.207571076359084</c:v>
                </c:pt>
                <c:pt idx="6">
                  <c:v>15.236839728595292</c:v>
                </c:pt>
                <c:pt idx="7">
                  <c:v>17.679514929468834</c:v>
                </c:pt>
                <c:pt idx="8">
                  <c:v>19.326724897295961</c:v>
                </c:pt>
                <c:pt idx="9">
                  <c:v>19.824629807315819</c:v>
                </c:pt>
                <c:pt idx="10">
                  <c:v>18.867065179339239</c:v>
                </c:pt>
                <c:pt idx="11">
                  <c:v>15.718633792069399</c:v>
                </c:pt>
                <c:pt idx="12">
                  <c:v>10.494584972831474</c:v>
                </c:pt>
                <c:pt idx="13">
                  <c:v>5.7979069237936489</c:v>
                </c:pt>
                <c:pt idx="14">
                  <c:v>1.9957709001715132</c:v>
                </c:pt>
                <c:pt idx="15">
                  <c:v>-1.5822340202332141</c:v>
                </c:pt>
                <c:pt idx="16">
                  <c:v>-5.2787361933798458</c:v>
                </c:pt>
                <c:pt idx="17">
                  <c:v>-9.4636411430076741</c:v>
                </c:pt>
                <c:pt idx="18">
                  <c:v>-14.530366115647242</c:v>
                </c:pt>
                <c:pt idx="19">
                  <c:v>-17.815078178091053</c:v>
                </c:pt>
                <c:pt idx="20">
                  <c:v>-19.322771187185019</c:v>
                </c:pt>
                <c:pt idx="21">
                  <c:v>-19.679739837048864</c:v>
                </c:pt>
                <c:pt idx="22">
                  <c:v>-19.17565318445822</c:v>
                </c:pt>
                <c:pt idx="23">
                  <c:v>-18.026996184829969</c:v>
                </c:pt>
                <c:pt idx="24">
                  <c:v>-16.385476183314864</c:v>
                </c:pt>
                <c:pt idx="25">
                  <c:v>-14.338382744304399</c:v>
                </c:pt>
                <c:pt idx="26">
                  <c:v>-11.955601860910759</c:v>
                </c:pt>
                <c:pt idx="27">
                  <c:v>-9.2482573279288154</c:v>
                </c:pt>
                <c:pt idx="28">
                  <c:v>-6.2928687435183539</c:v>
                </c:pt>
                <c:pt idx="29">
                  <c:v>-4.7157146491731972</c:v>
                </c:pt>
              </c:numCache>
            </c:numRef>
          </c:yVal>
          <c:smooth val="1"/>
        </c:ser>
        <c:ser>
          <c:idx val="11"/>
          <c:order val="11"/>
          <c:spPr>
            <a:ln>
              <a:solidFill>
                <a:srgbClr val="4F81BD"/>
              </a:solidFill>
            </a:ln>
          </c:spPr>
          <c:marker>
            <c:symbol val="none"/>
          </c:marker>
          <c:trendline>
            <c:trendlineType val="linear"/>
            <c:dispRSqr val="0"/>
            <c:dispEq val="0"/>
          </c:trendline>
          <c:xVal>
            <c:numRef>
              <c:f>'12'!$N$2:$N$31</c:f>
              <c:numCache>
                <c:formatCode>General</c:formatCode>
                <c:ptCount val="30"/>
                <c:pt idx="0">
                  <c:v>1195.0455340439692</c:v>
                </c:pt>
                <c:pt idx="1">
                  <c:v>1184.5842215363518</c:v>
                </c:pt>
                <c:pt idx="2">
                  <c:v>1163.0374322568807</c:v>
                </c:pt>
                <c:pt idx="3">
                  <c:v>1141.0129494003013</c:v>
                </c:pt>
                <c:pt idx="4">
                  <c:v>1118.9712917868974</c:v>
                </c:pt>
                <c:pt idx="5">
                  <c:v>1096.9429271601446</c:v>
                </c:pt>
                <c:pt idx="6">
                  <c:v>1074.9562001127913</c:v>
                </c:pt>
                <c:pt idx="7">
                  <c:v>1053.0453232678349</c:v>
                </c:pt>
                <c:pt idx="8">
                  <c:v>1031.2628642576876</c:v>
                </c:pt>
                <c:pt idx="9">
                  <c:v>1009.6951667184676</c:v>
                </c:pt>
                <c:pt idx="10">
                  <c:v>988.54045567686171</c:v>
                </c:pt>
                <c:pt idx="11">
                  <c:v>968.52515173562176</c:v>
                </c:pt>
                <c:pt idx="12">
                  <c:v>954.04136572964001</c:v>
                </c:pt>
                <c:pt idx="13">
                  <c:v>947.91044288721798</c:v>
                </c:pt>
                <c:pt idx="14">
                  <c:v>945.56164498296744</c:v>
                </c:pt>
                <c:pt idx="15">
                  <c:v>945.62277168369917</c:v>
                </c:pt>
                <c:pt idx="16">
                  <c:v>948.09394773778195</c:v>
                </c:pt>
                <c:pt idx="17">
                  <c:v>954.36009781202665</c:v>
                </c:pt>
                <c:pt idx="18">
                  <c:v>969.00094201437832</c:v>
                </c:pt>
                <c:pt idx="19">
                  <c:v>989.11878911480494</c:v>
                </c:pt>
                <c:pt idx="20">
                  <c:v>1010.3149166148658</c:v>
                </c:pt>
                <c:pt idx="21">
                  <c:v>1031.882239908979</c:v>
                </c:pt>
                <c:pt idx="22">
                  <c:v>1053.6343850654985</c:v>
                </c:pt>
                <c:pt idx="23">
                  <c:v>1075.4928675955421</c:v>
                </c:pt>
                <c:pt idx="24">
                  <c:v>1097.4103592981887</c:v>
                </c:pt>
                <c:pt idx="25">
                  <c:v>1119.3561405047694</c:v>
                </c:pt>
                <c:pt idx="26">
                  <c:v>1141.3036130996989</c:v>
                </c:pt>
                <c:pt idx="27">
                  <c:v>1163.2233073264526</c:v>
                </c:pt>
                <c:pt idx="28">
                  <c:v>1184.6567003386481</c:v>
                </c:pt>
                <c:pt idx="29">
                  <c:v>1195.0586326226974</c:v>
                </c:pt>
              </c:numCache>
            </c:numRef>
          </c:xVal>
          <c:yVal>
            <c:numRef>
              <c:f>'12'!$O$2:$O$31</c:f>
              <c:numCache>
                <c:formatCode>General</c:formatCode>
                <c:ptCount val="30"/>
                <c:pt idx="0">
                  <c:v>6.5016718793191597</c:v>
                </c:pt>
                <c:pt idx="1">
                  <c:v>7.4301847885064429</c:v>
                </c:pt>
                <c:pt idx="2">
                  <c:v>9.1641282952526879</c:v>
                </c:pt>
                <c:pt idx="3">
                  <c:v>10.713655780818229</c:v>
                </c:pt>
                <c:pt idx="4">
                  <c:v>12.050276880025457</c:v>
                </c:pt>
                <c:pt idx="5">
                  <c:v>13.154754919451127</c:v>
                </c:pt>
                <c:pt idx="6">
                  <c:v>13.992801784250235</c:v>
                </c:pt>
                <c:pt idx="7">
                  <c:v>14.495279702013921</c:v>
                </c:pt>
                <c:pt idx="8">
                  <c:v>14.558513210946613</c:v>
                </c:pt>
                <c:pt idx="9">
                  <c:v>14.027176299261221</c:v>
                </c:pt>
                <c:pt idx="10">
                  <c:v>12.668746686935947</c:v>
                </c:pt>
                <c:pt idx="11">
                  <c:v>10.113914279526279</c:v>
                </c:pt>
                <c:pt idx="12">
                  <c:v>6.604895130835815</c:v>
                </c:pt>
                <c:pt idx="13">
                  <c:v>3.7420128276365205</c:v>
                </c:pt>
                <c:pt idx="14">
                  <c:v>1.2310936563838011</c:v>
                </c:pt>
                <c:pt idx="15">
                  <c:v>-1.2171174820473494</c:v>
                </c:pt>
                <c:pt idx="16">
                  <c:v>-3.6076169369190358</c:v>
                </c:pt>
                <c:pt idx="17">
                  <c:v>-6.1607772338408981</c:v>
                </c:pt>
                <c:pt idx="18">
                  <c:v>-8.9421618061398593</c:v>
                </c:pt>
                <c:pt idx="19">
                  <c:v>-10.494328492179996</c:v>
                </c:pt>
                <c:pt idx="20">
                  <c:v>-10.794686834873383</c:v>
                </c:pt>
                <c:pt idx="21">
                  <c:v>-10.248360875401678</c:v>
                </c:pt>
                <c:pt idx="22">
                  <c:v>-9.0974815136429985</c:v>
                </c:pt>
                <c:pt idx="23">
                  <c:v>-7.5014927413228456</c:v>
                </c:pt>
                <c:pt idx="24">
                  <c:v>-5.5665657656540208</c:v>
                </c:pt>
                <c:pt idx="25">
                  <c:v>-3.3634605935665807</c:v>
                </c:pt>
                <c:pt idx="26">
                  <c:v>-0.92783799988499738</c:v>
                </c:pt>
                <c:pt idx="27">
                  <c:v>1.7195678947171489</c:v>
                </c:pt>
                <c:pt idx="28">
                  <c:v>4.5273058672237934</c:v>
                </c:pt>
                <c:pt idx="29">
                  <c:v>5.9770552067981999</c:v>
                </c:pt>
              </c:numCache>
            </c:numRef>
          </c:yVal>
          <c:smooth val="1"/>
        </c:ser>
        <c:ser>
          <c:idx val="12"/>
          <c:order val="12"/>
          <c:spPr>
            <a:ln>
              <a:solidFill>
                <a:srgbClr val="4F81BD"/>
              </a:solidFill>
            </a:ln>
          </c:spPr>
          <c:marker>
            <c:symbol val="none"/>
          </c:marker>
          <c:xVal>
            <c:numRef>
              <c:f>Tip!$N$2:$N$31</c:f>
              <c:numCache>
                <c:formatCode>General</c:formatCode>
                <c:ptCount val="30"/>
                <c:pt idx="0">
                  <c:v>1249.9910432528031</c:v>
                </c:pt>
                <c:pt idx="1">
                  <c:v>1244.7291893321778</c:v>
                </c:pt>
                <c:pt idx="2">
                  <c:v>1233.8953994921599</c:v>
                </c:pt>
                <c:pt idx="3">
                  <c:v>1222.8262455145855</c:v>
                </c:pt>
                <c:pt idx="4">
                  <c:v>1211.7530922371229</c:v>
                </c:pt>
                <c:pt idx="5">
                  <c:v>1200.6916220786061</c:v>
                </c:pt>
                <c:pt idx="6">
                  <c:v>1189.6567792719945</c:v>
                </c:pt>
                <c:pt idx="7">
                  <c:v>1178.6672022832072</c:v>
                </c:pt>
                <c:pt idx="8">
                  <c:v>1167.7514738111233</c:v>
                </c:pt>
                <c:pt idx="9">
                  <c:v>1156.9562179040604</c:v>
                </c:pt>
                <c:pt idx="10">
                  <c:v>1146.3857882856732</c:v>
                </c:pt>
                <c:pt idx="11">
                  <c:v>1136.4121568208709</c:v>
                </c:pt>
                <c:pt idx="12">
                  <c:v>1129.230802484878</c:v>
                </c:pt>
                <c:pt idx="13">
                  <c:v>1126.2207702368908</c:v>
                </c:pt>
                <c:pt idx="14">
                  <c:v>1125.0982018464149</c:v>
                </c:pt>
                <c:pt idx="15">
                  <c:v>1125.1817981535851</c:v>
                </c:pt>
                <c:pt idx="16">
                  <c:v>1126.4717297631094</c:v>
                </c:pt>
                <c:pt idx="17">
                  <c:v>1129.6666975151218</c:v>
                </c:pt>
                <c:pt idx="18">
                  <c:v>1137.062843179129</c:v>
                </c:pt>
                <c:pt idx="19">
                  <c:v>1147.1767117143268</c:v>
                </c:pt>
                <c:pt idx="20">
                  <c:v>1157.8037820959396</c:v>
                </c:pt>
                <c:pt idx="21">
                  <c:v>1168.5985261888768</c:v>
                </c:pt>
                <c:pt idx="22">
                  <c:v>1179.4727977167927</c:v>
                </c:pt>
                <c:pt idx="23">
                  <c:v>1190.3907207280056</c:v>
                </c:pt>
                <c:pt idx="24">
                  <c:v>1201.3308779213939</c:v>
                </c:pt>
                <c:pt idx="25">
                  <c:v>1212.2794077628771</c:v>
                </c:pt>
                <c:pt idx="26">
                  <c:v>1223.2237544854145</c:v>
                </c:pt>
                <c:pt idx="27">
                  <c:v>1234.1496005078402</c:v>
                </c:pt>
                <c:pt idx="28">
                  <c:v>1244.8283106678223</c:v>
                </c:pt>
                <c:pt idx="29">
                  <c:v>1250.0089567471969</c:v>
                </c:pt>
              </c:numCache>
            </c:numRef>
          </c:xVal>
          <c:yVal>
            <c:numRef>
              <c:f>Tip!$O$2:$O$31</c:f>
              <c:numCache>
                <c:formatCode>General</c:formatCode>
                <c:ptCount val="30"/>
                <c:pt idx="0">
                  <c:v>8.6614854255130993</c:v>
                </c:pt>
                <c:pt idx="1">
                  <c:v>8.9001774917894174</c:v>
                </c:pt>
                <c:pt idx="2">
                  <c:v>9.3024007334240135</c:v>
                </c:pt>
                <c:pt idx="3">
                  <c:v>9.6019106206873719</c:v>
                </c:pt>
                <c:pt idx="4">
                  <c:v>9.7944027867624328</c:v>
                </c:pt>
                <c:pt idx="5">
                  <c:v>9.8709008599002601</c:v>
                </c:pt>
                <c:pt idx="6">
                  <c:v>9.8148431659976616</c:v>
                </c:pt>
                <c:pt idx="7">
                  <c:v>9.5923386356599458</c:v>
                </c:pt>
                <c:pt idx="8">
                  <c:v>9.1525933159722257</c:v>
                </c:pt>
                <c:pt idx="9">
                  <c:v>8.4196721846249147</c:v>
                </c:pt>
                <c:pt idx="10">
                  <c:v>7.281393522895657</c:v>
                </c:pt>
                <c:pt idx="11">
                  <c:v>5.5684891064556803</c:v>
                </c:pt>
                <c:pt idx="12">
                  <c:v>3.4973410787940113</c:v>
                </c:pt>
                <c:pt idx="13">
                  <c:v>1.9306206355327762</c:v>
                </c:pt>
                <c:pt idx="14">
                  <c:v>0.62205386367657467</c:v>
                </c:pt>
                <c:pt idx="15">
                  <c:v>-0.60294613632342531</c:v>
                </c:pt>
                <c:pt idx="16">
                  <c:v>-1.746879364467224</c:v>
                </c:pt>
                <c:pt idx="17">
                  <c:v>-2.8901589212059888</c:v>
                </c:pt>
                <c:pt idx="18">
                  <c:v>-3.9665108935443203</c:v>
                </c:pt>
                <c:pt idx="19">
                  <c:v>-4.3086064771043429</c:v>
                </c:pt>
                <c:pt idx="20">
                  <c:v>-4.000327815375087</c:v>
                </c:pt>
                <c:pt idx="21">
                  <c:v>-3.2599066840277762</c:v>
                </c:pt>
                <c:pt idx="22">
                  <c:v>-2.2126613643400543</c:v>
                </c:pt>
                <c:pt idx="23">
                  <c:v>-0.94015683400234107</c:v>
                </c:pt>
                <c:pt idx="24">
                  <c:v>0.50340085990025951</c:v>
                </c:pt>
                <c:pt idx="25">
                  <c:v>2.0819027867624333</c:v>
                </c:pt>
                <c:pt idx="26">
                  <c:v>3.7769106206873722</c:v>
                </c:pt>
                <c:pt idx="27">
                  <c:v>5.5774007334240139</c:v>
                </c:pt>
                <c:pt idx="28">
                  <c:v>7.4476774917894168</c:v>
                </c:pt>
                <c:pt idx="29">
                  <c:v>8.3989854255130965</c:v>
                </c:pt>
              </c:numCache>
            </c:numRef>
          </c:yVal>
          <c:smooth val="1"/>
        </c:ser>
        <c:dLbls>
          <c:showLegendKey val="0"/>
          <c:showVal val="0"/>
          <c:showCatName val="0"/>
          <c:showSerName val="0"/>
          <c:showPercent val="0"/>
          <c:showBubbleSize val="0"/>
        </c:dLbls>
        <c:axId val="105822080"/>
        <c:axId val="105828352"/>
      </c:scatterChart>
      <c:valAx>
        <c:axId val="105822080"/>
        <c:scaling>
          <c:orientation val="minMax"/>
          <c:min val="0"/>
        </c:scaling>
        <c:delete val="0"/>
        <c:axPos val="b"/>
        <c:title>
          <c:tx>
            <c:rich>
              <a:bodyPr/>
              <a:lstStyle/>
              <a:p>
                <a:pPr>
                  <a:defRPr/>
                </a:pPr>
                <a:r>
                  <a:rPr lang="en-US"/>
                  <a:t>Length [mm]</a:t>
                </a:r>
              </a:p>
            </c:rich>
          </c:tx>
          <c:layout/>
          <c:overlay val="0"/>
        </c:title>
        <c:numFmt formatCode="General" sourceLinked="1"/>
        <c:majorTickMark val="out"/>
        <c:minorTickMark val="none"/>
        <c:tickLblPos val="nextTo"/>
        <c:crossAx val="105828352"/>
        <c:crosses val="autoZero"/>
        <c:crossBetween val="midCat"/>
        <c:majorUnit val="100"/>
      </c:valAx>
      <c:valAx>
        <c:axId val="105828352"/>
        <c:scaling>
          <c:orientation val="minMax"/>
          <c:max val="200"/>
          <c:min val="-150"/>
        </c:scaling>
        <c:delete val="0"/>
        <c:axPos val="l"/>
        <c:majorGridlines/>
        <c:title>
          <c:tx>
            <c:rich>
              <a:bodyPr rot="-5400000" vert="horz"/>
              <a:lstStyle/>
              <a:p>
                <a:pPr>
                  <a:defRPr/>
                </a:pPr>
                <a:r>
                  <a:rPr lang="en-US"/>
                  <a:t>Height [mm]</a:t>
                </a:r>
              </a:p>
            </c:rich>
          </c:tx>
          <c:layout/>
          <c:overlay val="0"/>
        </c:title>
        <c:numFmt formatCode="General" sourceLinked="1"/>
        <c:majorTickMark val="out"/>
        <c:minorTickMark val="none"/>
        <c:tickLblPos val="nextTo"/>
        <c:crossAx val="105822080"/>
        <c:crosses val="autoZero"/>
        <c:crossBetween val="midCat"/>
      </c:valAx>
    </c:plotArea>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Twist vs Span Position</a:t>
            </a:r>
          </a:p>
        </c:rich>
      </c:tx>
      <c:layout/>
      <c:overlay val="1"/>
    </c:title>
    <c:autoTitleDeleted val="0"/>
    <c:plotArea>
      <c:layout/>
      <c:scatterChart>
        <c:scatterStyle val="smoothMarker"/>
        <c:varyColors val="0"/>
        <c:ser>
          <c:idx val="0"/>
          <c:order val="0"/>
          <c:marker>
            <c:symbol val="none"/>
          </c:marker>
          <c:xVal>
            <c:numRef>
              <c:f>'Loft Viewer'!$B$5:$N$5</c:f>
              <c:numCache>
                <c:formatCode>General</c:formatCode>
                <c:ptCount val="13"/>
                <c:pt idx="0">
                  <c:v>0</c:v>
                </c:pt>
                <c:pt idx="1">
                  <c:v>0.125</c:v>
                </c:pt>
                <c:pt idx="2">
                  <c:v>0.25</c:v>
                </c:pt>
                <c:pt idx="3">
                  <c:v>0.375</c:v>
                </c:pt>
                <c:pt idx="4">
                  <c:v>0.5</c:v>
                </c:pt>
                <c:pt idx="5">
                  <c:v>0.625</c:v>
                </c:pt>
                <c:pt idx="6">
                  <c:v>0.74999999999999989</c:v>
                </c:pt>
                <c:pt idx="7">
                  <c:v>0.87499999999999989</c:v>
                </c:pt>
                <c:pt idx="8">
                  <c:v>1</c:v>
                </c:pt>
                <c:pt idx="9">
                  <c:v>1.125</c:v>
                </c:pt>
                <c:pt idx="10">
                  <c:v>1.25</c:v>
                </c:pt>
                <c:pt idx="11">
                  <c:v>1.375</c:v>
                </c:pt>
                <c:pt idx="12">
                  <c:v>1.5</c:v>
                </c:pt>
              </c:numCache>
            </c:numRef>
          </c:xVal>
          <c:yVal>
            <c:numRef>
              <c:f>'Loft Viewer'!$B$8:$N$8</c:f>
              <c:numCache>
                <c:formatCode>General</c:formatCode>
                <c:ptCount val="13"/>
                <c:pt idx="0">
                  <c:v>8.4829900706354096</c:v>
                </c:pt>
                <c:pt idx="1">
                  <c:v>8.4970932331976048</c:v>
                </c:pt>
                <c:pt idx="2">
                  <c:v>8.3521036481733404</c:v>
                </c:pt>
                <c:pt idx="3">
                  <c:v>8.0460151287766841</c:v>
                </c:pt>
                <c:pt idx="4">
                  <c:v>7.575315660905372</c:v>
                </c:pt>
                <c:pt idx="5">
                  <c:v>6.9346026239861676</c:v>
                </c:pt>
                <c:pt idx="6">
                  <c:v>6.1158849535117064</c:v>
                </c:pt>
                <c:pt idx="7">
                  <c:v>5.1073125809029669</c:v>
                </c:pt>
                <c:pt idx="8">
                  <c:v>3.8907630269934983</c:v>
                </c:pt>
                <c:pt idx="9">
                  <c:v>2.4369435918125348</c:v>
                </c:pt>
                <c:pt idx="10">
                  <c:v>0.69468425691597802</c:v>
                </c:pt>
                <c:pt idx="11">
                  <c:v>-1.4314298732636495</c:v>
                </c:pt>
                <c:pt idx="12">
                  <c:v>-3.905899412086856</c:v>
                </c:pt>
              </c:numCache>
            </c:numRef>
          </c:yVal>
          <c:smooth val="1"/>
        </c:ser>
        <c:dLbls>
          <c:showLegendKey val="0"/>
          <c:showVal val="0"/>
          <c:showCatName val="0"/>
          <c:showSerName val="0"/>
          <c:showPercent val="0"/>
          <c:showBubbleSize val="0"/>
        </c:dLbls>
        <c:axId val="106370944"/>
        <c:axId val="106409984"/>
      </c:scatterChart>
      <c:valAx>
        <c:axId val="106370944"/>
        <c:scaling>
          <c:orientation val="minMax"/>
        </c:scaling>
        <c:delete val="0"/>
        <c:axPos val="b"/>
        <c:majorGridlines/>
        <c:title>
          <c:tx>
            <c:rich>
              <a:bodyPr/>
              <a:lstStyle/>
              <a:p>
                <a:pPr>
                  <a:defRPr/>
                </a:pPr>
                <a:r>
                  <a:rPr lang="en-US"/>
                  <a:t>Span position [m]</a:t>
                </a:r>
              </a:p>
            </c:rich>
          </c:tx>
          <c:layout/>
          <c:overlay val="0"/>
        </c:title>
        <c:numFmt formatCode="General" sourceLinked="1"/>
        <c:majorTickMark val="out"/>
        <c:minorTickMark val="none"/>
        <c:tickLblPos val="nextTo"/>
        <c:crossAx val="106409984"/>
        <c:crosses val="autoZero"/>
        <c:crossBetween val="midCat"/>
      </c:valAx>
      <c:valAx>
        <c:axId val="106409984"/>
        <c:scaling>
          <c:orientation val="minMax"/>
        </c:scaling>
        <c:delete val="0"/>
        <c:axPos val="l"/>
        <c:majorGridlines/>
        <c:title>
          <c:tx>
            <c:rich>
              <a:bodyPr rot="-5400000" vert="horz"/>
              <a:lstStyle/>
              <a:p>
                <a:pPr>
                  <a:defRPr/>
                </a:pPr>
                <a:r>
                  <a:rPr lang="en-US"/>
                  <a:t>Twist [deg]</a:t>
                </a:r>
              </a:p>
            </c:rich>
          </c:tx>
          <c:layout/>
          <c:overlay val="0"/>
        </c:title>
        <c:numFmt formatCode="General" sourceLinked="1"/>
        <c:majorTickMark val="out"/>
        <c:minorTickMark val="none"/>
        <c:tickLblPos val="nextTo"/>
        <c:crossAx val="106370944"/>
        <c:crosses val="autoZero"/>
        <c:crossBetween val="midCat"/>
      </c:valAx>
    </c:plotArea>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v>Root</c:v>
          </c:tx>
          <c:xVal>
            <c:numRef>
              <c:f>'Airfoil Interpolation'!$B$4:$B$32</c:f>
              <c:numCache>
                <c:formatCode>General</c:formatCode>
                <c:ptCount val="29"/>
                <c:pt idx="0">
                  <c:v>1</c:v>
                </c:pt>
                <c:pt idx="1">
                  <c:v>0.95121999999999995</c:v>
                </c:pt>
                <c:pt idx="2">
                  <c:v>0.86626999999999998</c:v>
                </c:pt>
                <c:pt idx="3">
                  <c:v>0.78124000000000005</c:v>
                </c:pt>
                <c:pt idx="4">
                  <c:v>0.69625999999999999</c:v>
                </c:pt>
                <c:pt idx="5">
                  <c:v>0.61146</c:v>
                </c:pt>
                <c:pt idx="6">
                  <c:v>0.52680000000000005</c:v>
                </c:pt>
                <c:pt idx="7">
                  <c:v>0.44248999999999999</c:v>
                </c:pt>
                <c:pt idx="8">
                  <c:v>0.35810999999999998</c:v>
                </c:pt>
                <c:pt idx="9">
                  <c:v>0.27444000000000002</c:v>
                </c:pt>
                <c:pt idx="10">
                  <c:v>0.19114999999999999</c:v>
                </c:pt>
                <c:pt idx="11">
                  <c:v>0.11174000000000001</c:v>
                </c:pt>
                <c:pt idx="12">
                  <c:v>4.2939999999999999E-2</c:v>
                </c:pt>
                <c:pt idx="13">
                  <c:v>1.106E-2</c:v>
                </c:pt>
                <c:pt idx="14">
                  <c:v>1.2999999999999999E-3</c:v>
                </c:pt>
                <c:pt idx="15">
                  <c:v>3.2000000000000003E-4</c:v>
                </c:pt>
                <c:pt idx="16">
                  <c:v>7.6600000000000001E-3</c:v>
                </c:pt>
                <c:pt idx="17">
                  <c:v>3.3230000000000003E-2</c:v>
                </c:pt>
                <c:pt idx="18">
                  <c:v>9.7040000000000001E-2</c:v>
                </c:pt>
                <c:pt idx="19">
                  <c:v>0.17948</c:v>
                </c:pt>
                <c:pt idx="20">
                  <c:v>0.26478000000000002</c:v>
                </c:pt>
                <c:pt idx="21">
                  <c:v>0.35043999999999997</c:v>
                </c:pt>
                <c:pt idx="22">
                  <c:v>0.43622</c:v>
                </c:pt>
                <c:pt idx="23">
                  <c:v>0.52234000000000003</c:v>
                </c:pt>
                <c:pt idx="24">
                  <c:v>0.60845000000000005</c:v>
                </c:pt>
                <c:pt idx="25">
                  <c:v>0.69442000000000004</c:v>
                </c:pt>
                <c:pt idx="26">
                  <c:v>0.78025</c:v>
                </c:pt>
                <c:pt idx="27">
                  <c:v>0.86600999999999995</c:v>
                </c:pt>
                <c:pt idx="28">
                  <c:v>0.95123000000000002</c:v>
                </c:pt>
              </c:numCache>
            </c:numRef>
          </c:xVal>
          <c:yVal>
            <c:numRef>
              <c:f>'Airfoil Interpolation'!$C$4:$C$33</c:f>
              <c:numCache>
                <c:formatCode>General</c:formatCode>
                <c:ptCount val="30"/>
                <c:pt idx="0">
                  <c:v>1.3999999999999999E-4</c:v>
                </c:pt>
                <c:pt idx="1">
                  <c:v>5.6100000000000004E-3</c:v>
                </c:pt>
                <c:pt idx="2">
                  <c:v>1.6240000000000001E-2</c:v>
                </c:pt>
                <c:pt idx="3">
                  <c:v>2.8649999999999998E-2</c:v>
                </c:pt>
                <c:pt idx="4">
                  <c:v>4.2659999999999997E-2</c:v>
                </c:pt>
                <c:pt idx="5">
                  <c:v>5.8369999999999998E-2</c:v>
                </c:pt>
                <c:pt idx="6">
                  <c:v>7.4260000000000007E-2</c:v>
                </c:pt>
                <c:pt idx="7">
                  <c:v>8.7239999999999998E-2</c:v>
                </c:pt>
                <c:pt idx="8">
                  <c:v>9.597E-2</c:v>
                </c:pt>
                <c:pt idx="9">
                  <c:v>9.7790000000000002E-2</c:v>
                </c:pt>
                <c:pt idx="10">
                  <c:v>9.2439999999999994E-2</c:v>
                </c:pt>
                <c:pt idx="11">
                  <c:v>7.5749999999999998E-2</c:v>
                </c:pt>
                <c:pt idx="12">
                  <c:v>4.8120000000000003E-2</c:v>
                </c:pt>
                <c:pt idx="13">
                  <c:v>2.2919999999999999E-2</c:v>
                </c:pt>
                <c:pt idx="14">
                  <c:v>8.5199999999999998E-3</c:v>
                </c:pt>
                <c:pt idx="15">
                  <c:v>-1.5399999999999999E-3</c:v>
                </c:pt>
                <c:pt idx="16">
                  <c:v>-1.282E-2</c:v>
                </c:pt>
                <c:pt idx="17">
                  <c:v>-2.5870000000000001E-2</c:v>
                </c:pt>
                <c:pt idx="18">
                  <c:v>-4.2229999999999997E-2</c:v>
                </c:pt>
                <c:pt idx="19">
                  <c:v>-4.947E-2</c:v>
                </c:pt>
                <c:pt idx="20">
                  <c:v>-5.1580000000000001E-2</c:v>
                </c:pt>
                <c:pt idx="21">
                  <c:v>-5.135E-2</c:v>
                </c:pt>
                <c:pt idx="22">
                  <c:v>-4.8860000000000001E-2</c:v>
                </c:pt>
                <c:pt idx="23">
                  <c:v>-4.4549999999999999E-2</c:v>
                </c:pt>
                <c:pt idx="24">
                  <c:v>-3.884E-2</c:v>
                </c:pt>
                <c:pt idx="25">
                  <c:v>-3.1780000000000003E-2</c:v>
                </c:pt>
                <c:pt idx="26">
                  <c:v>-2.383E-2</c:v>
                </c:pt>
                <c:pt idx="27">
                  <c:v>-1.478E-2</c:v>
                </c:pt>
                <c:pt idx="28">
                  <c:v>-5.2100000000000002E-3</c:v>
                </c:pt>
                <c:pt idx="29">
                  <c:v>1.3999999999999999E-4</c:v>
                </c:pt>
              </c:numCache>
            </c:numRef>
          </c:yVal>
          <c:smooth val="1"/>
        </c:ser>
        <c:ser>
          <c:idx val="1"/>
          <c:order val="1"/>
          <c:tx>
            <c:v>Tip</c:v>
          </c:tx>
          <c:xVal>
            <c:numRef>
              <c:f>'Airfoil Interpolation'!$E$4:$E$33</c:f>
              <c:numCache>
                <c:formatCode>0.000000</c:formatCode>
                <c:ptCount val="30"/>
                <c:pt idx="0">
                  <c:v>1</c:v>
                </c:pt>
                <c:pt idx="1">
                  <c:v>0.95823000000000003</c:v>
                </c:pt>
                <c:pt idx="2">
                  <c:v>0.87217999999999996</c:v>
                </c:pt>
                <c:pt idx="3">
                  <c:v>0.78420000000000001</c:v>
                </c:pt>
                <c:pt idx="4">
                  <c:v>0.69613000000000003</c:v>
                </c:pt>
                <c:pt idx="5">
                  <c:v>0.60809000000000002</c:v>
                </c:pt>
                <c:pt idx="6">
                  <c:v>0.52019000000000004</c:v>
                </c:pt>
                <c:pt idx="7">
                  <c:v>0.43256</c:v>
                </c:pt>
                <c:pt idx="8">
                  <c:v>0.34539999999999998</c:v>
                </c:pt>
                <c:pt idx="9">
                  <c:v>0.25903999999999999</c:v>
                </c:pt>
                <c:pt idx="10">
                  <c:v>0.17424999999999999</c:v>
                </c:pt>
                <c:pt idx="11">
                  <c:v>9.3899999999999997E-2</c:v>
                </c:pt>
                <c:pt idx="12">
                  <c:v>3.5589999999999997E-2</c:v>
                </c:pt>
                <c:pt idx="13">
                  <c:v>1.077E-2</c:v>
                </c:pt>
                <c:pt idx="14">
                  <c:v>1.1199999999999999E-3</c:v>
                </c:pt>
                <c:pt idx="15">
                  <c:v>1.1199999999999999E-3</c:v>
                </c:pt>
                <c:pt idx="16">
                  <c:v>1.077E-2</c:v>
                </c:pt>
                <c:pt idx="17">
                  <c:v>3.5589999999999997E-2</c:v>
                </c:pt>
                <c:pt idx="18">
                  <c:v>9.3899999999999997E-2</c:v>
                </c:pt>
                <c:pt idx="19">
                  <c:v>0.17424999999999999</c:v>
                </c:pt>
                <c:pt idx="20">
                  <c:v>0.25903999999999999</c:v>
                </c:pt>
                <c:pt idx="21">
                  <c:v>0.34539999999999998</c:v>
                </c:pt>
                <c:pt idx="22">
                  <c:v>0.43256</c:v>
                </c:pt>
                <c:pt idx="23">
                  <c:v>0.52019000000000004</c:v>
                </c:pt>
                <c:pt idx="24">
                  <c:v>0.60809000000000002</c:v>
                </c:pt>
                <c:pt idx="25">
                  <c:v>0.69613000000000003</c:v>
                </c:pt>
                <c:pt idx="26">
                  <c:v>0.78420000000000001</c:v>
                </c:pt>
                <c:pt idx="27">
                  <c:v>0.87217999999999996</c:v>
                </c:pt>
                <c:pt idx="28">
                  <c:v>0.95823000000000003</c:v>
                </c:pt>
                <c:pt idx="29">
                  <c:v>1</c:v>
                </c:pt>
              </c:numCache>
            </c:numRef>
          </c:xVal>
          <c:yVal>
            <c:numRef>
              <c:f>'Airfoil Interpolation'!$F$4:$F$33</c:f>
              <c:numCache>
                <c:formatCode>0.000000</c:formatCode>
                <c:ptCount val="30"/>
                <c:pt idx="0">
                  <c:v>1.0499999999999999E-3</c:v>
                </c:pt>
                <c:pt idx="1">
                  <c:v>5.8100000000000001E-3</c:v>
                </c:pt>
                <c:pt idx="2">
                  <c:v>1.49E-2</c:v>
                </c:pt>
                <c:pt idx="3">
                  <c:v>2.3300000000000001E-2</c:v>
                </c:pt>
                <c:pt idx="4">
                  <c:v>3.0849999999999999E-2</c:v>
                </c:pt>
                <c:pt idx="5">
                  <c:v>3.7470000000000003E-2</c:v>
                </c:pt>
                <c:pt idx="6">
                  <c:v>4.3020000000000003E-2</c:v>
                </c:pt>
                <c:pt idx="7">
                  <c:v>4.7219999999999998E-2</c:v>
                </c:pt>
                <c:pt idx="8">
                  <c:v>4.965E-2</c:v>
                </c:pt>
                <c:pt idx="9">
                  <c:v>4.9680000000000002E-2</c:v>
                </c:pt>
                <c:pt idx="10">
                  <c:v>4.6359999999999998E-2</c:v>
                </c:pt>
                <c:pt idx="11">
                  <c:v>3.814E-2</c:v>
                </c:pt>
                <c:pt idx="12">
                  <c:v>2.555E-2</c:v>
                </c:pt>
                <c:pt idx="13">
                  <c:v>1.4710000000000001E-2</c:v>
                </c:pt>
                <c:pt idx="14">
                  <c:v>4.8999999999999998E-3</c:v>
                </c:pt>
                <c:pt idx="15">
                  <c:v>-4.8999999999999998E-3</c:v>
                </c:pt>
                <c:pt idx="16">
                  <c:v>-1.4710000000000001E-2</c:v>
                </c:pt>
                <c:pt idx="17">
                  <c:v>-2.555E-2</c:v>
                </c:pt>
                <c:pt idx="18">
                  <c:v>-3.814E-2</c:v>
                </c:pt>
                <c:pt idx="19">
                  <c:v>-4.6359999999999998E-2</c:v>
                </c:pt>
                <c:pt idx="20">
                  <c:v>-4.9680000000000002E-2</c:v>
                </c:pt>
                <c:pt idx="21">
                  <c:v>-4.965E-2</c:v>
                </c:pt>
                <c:pt idx="22">
                  <c:v>-4.7219999999999998E-2</c:v>
                </c:pt>
                <c:pt idx="23">
                  <c:v>-4.3020000000000003E-2</c:v>
                </c:pt>
                <c:pt idx="24">
                  <c:v>-3.7470000000000003E-2</c:v>
                </c:pt>
                <c:pt idx="25">
                  <c:v>-3.0849999999999999E-2</c:v>
                </c:pt>
                <c:pt idx="26">
                  <c:v>-2.3300000000000001E-2</c:v>
                </c:pt>
                <c:pt idx="27">
                  <c:v>-1.49E-2</c:v>
                </c:pt>
                <c:pt idx="28">
                  <c:v>-5.8100000000000001E-3</c:v>
                </c:pt>
                <c:pt idx="29">
                  <c:v>-1.0499999999999999E-3</c:v>
                </c:pt>
              </c:numCache>
            </c:numRef>
          </c:yVal>
          <c:smooth val="1"/>
        </c:ser>
        <c:ser>
          <c:idx val="2"/>
          <c:order val="2"/>
          <c:xVal>
            <c:numRef>
              <c:f>'Airfoil Interpolation'!$Y$4:$Y$33</c:f>
              <c:numCache>
                <c:formatCode>General</c:formatCode>
                <c:ptCount val="30"/>
                <c:pt idx="0">
                  <c:v>1</c:v>
                </c:pt>
                <c:pt idx="1">
                  <c:v>0.95414083333333333</c:v>
                </c:pt>
                <c:pt idx="2">
                  <c:v>0.86873250000000002</c:v>
                </c:pt>
                <c:pt idx="3">
                  <c:v>0.78247333333333335</c:v>
                </c:pt>
                <c:pt idx="4">
                  <c:v>0.6962058333333333</c:v>
                </c:pt>
                <c:pt idx="5">
                  <c:v>0.61005583333333335</c:v>
                </c:pt>
                <c:pt idx="6">
                  <c:v>0.52404583333333332</c:v>
                </c:pt>
                <c:pt idx="7">
                  <c:v>0.43835249999999998</c:v>
                </c:pt>
                <c:pt idx="8">
                  <c:v>0.35281416666666665</c:v>
                </c:pt>
                <c:pt idx="9">
                  <c:v>0.26802333333333334</c:v>
                </c:pt>
                <c:pt idx="10">
                  <c:v>0.18410833333333332</c:v>
                </c:pt>
                <c:pt idx="11">
                  <c:v>0.10430666666666667</c:v>
                </c:pt>
                <c:pt idx="12">
                  <c:v>3.9877499999999996E-2</c:v>
                </c:pt>
                <c:pt idx="13">
                  <c:v>1.0939166666666666E-2</c:v>
                </c:pt>
                <c:pt idx="14">
                  <c:v>1.225E-3</c:v>
                </c:pt>
                <c:pt idx="15">
                  <c:v>6.5333333333333324E-4</c:v>
                </c:pt>
                <c:pt idx="16">
                  <c:v>8.955833333333333E-3</c:v>
                </c:pt>
                <c:pt idx="17">
                  <c:v>3.4213333333333332E-2</c:v>
                </c:pt>
                <c:pt idx="18">
                  <c:v>9.5731666666666659E-2</c:v>
                </c:pt>
                <c:pt idx="19">
                  <c:v>0.17730083333333332</c:v>
                </c:pt>
                <c:pt idx="20">
                  <c:v>0.26238833333333333</c:v>
                </c:pt>
                <c:pt idx="21">
                  <c:v>0.34833999999999998</c:v>
                </c:pt>
                <c:pt idx="22">
                  <c:v>0.434695</c:v>
                </c:pt>
                <c:pt idx="23">
                  <c:v>0.52144416666666671</c:v>
                </c:pt>
                <c:pt idx="24">
                  <c:v>0.60830000000000006</c:v>
                </c:pt>
                <c:pt idx="25">
                  <c:v>0.69513250000000004</c:v>
                </c:pt>
                <c:pt idx="26">
                  <c:v>0.78189583333333335</c:v>
                </c:pt>
                <c:pt idx="27">
                  <c:v>0.86858083333333325</c:v>
                </c:pt>
                <c:pt idx="28">
                  <c:v>0.9541466666666667</c:v>
                </c:pt>
                <c:pt idx="29">
                  <c:v>1</c:v>
                </c:pt>
              </c:numCache>
            </c:numRef>
          </c:xVal>
          <c:yVal>
            <c:numRef>
              <c:f>'Airfoil Interpolation'!$Z$4:$Z$33</c:f>
              <c:numCache>
                <c:formatCode>General</c:formatCode>
                <c:ptCount val="30"/>
                <c:pt idx="0">
                  <c:v>5.1916666666666658E-4</c:v>
                </c:pt>
                <c:pt idx="1">
                  <c:v>5.6933333333333332E-3</c:v>
                </c:pt>
                <c:pt idx="2">
                  <c:v>1.5681666666666667E-2</c:v>
                </c:pt>
                <c:pt idx="3">
                  <c:v>2.6420833333333331E-2</c:v>
                </c:pt>
                <c:pt idx="4">
                  <c:v>3.7739166666666664E-2</c:v>
                </c:pt>
                <c:pt idx="5">
                  <c:v>4.9661666666666666E-2</c:v>
                </c:pt>
                <c:pt idx="6">
                  <c:v>6.1243333333333337E-2</c:v>
                </c:pt>
                <c:pt idx="7">
                  <c:v>7.0565000000000003E-2</c:v>
                </c:pt>
                <c:pt idx="8">
                  <c:v>7.6670000000000002E-2</c:v>
                </c:pt>
                <c:pt idx="9">
                  <c:v>7.774416666666667E-2</c:v>
                </c:pt>
                <c:pt idx="10">
                  <c:v>7.324E-2</c:v>
                </c:pt>
                <c:pt idx="11">
                  <c:v>6.007916666666667E-2</c:v>
                </c:pt>
                <c:pt idx="12">
                  <c:v>3.8715833333333338E-2</c:v>
                </c:pt>
                <c:pt idx="13">
                  <c:v>1.9499166666666668E-2</c:v>
                </c:pt>
                <c:pt idx="14">
                  <c:v>7.011666666666666E-3</c:v>
                </c:pt>
                <c:pt idx="15">
                  <c:v>-2.9399999999999999E-3</c:v>
                </c:pt>
                <c:pt idx="16">
                  <c:v>-1.36075E-2</c:v>
                </c:pt>
                <c:pt idx="17">
                  <c:v>-2.5736666666666668E-2</c:v>
                </c:pt>
                <c:pt idx="18">
                  <c:v>-4.052583333333333E-2</c:v>
                </c:pt>
                <c:pt idx="19">
                  <c:v>-4.8174166666666664E-2</c:v>
                </c:pt>
                <c:pt idx="20">
                  <c:v>-5.0788333333333338E-2</c:v>
                </c:pt>
                <c:pt idx="21">
                  <c:v>-5.0641666666666668E-2</c:v>
                </c:pt>
                <c:pt idx="22">
                  <c:v>-4.8176666666666666E-2</c:v>
                </c:pt>
                <c:pt idx="23">
                  <c:v>-4.39125E-2</c:v>
                </c:pt>
                <c:pt idx="24">
                  <c:v>-3.8269166666666667E-2</c:v>
                </c:pt>
                <c:pt idx="25">
                  <c:v>-3.1392500000000004E-2</c:v>
                </c:pt>
                <c:pt idx="26">
                  <c:v>-2.3609166666666667E-2</c:v>
                </c:pt>
                <c:pt idx="27">
                  <c:v>-1.4829999999999999E-2</c:v>
                </c:pt>
                <c:pt idx="28">
                  <c:v>-5.4600000000000004E-3</c:v>
                </c:pt>
                <c:pt idx="29">
                  <c:v>-3.5583333333333322E-4</c:v>
                </c:pt>
              </c:numCache>
            </c:numRef>
          </c:yVal>
          <c:smooth val="1"/>
        </c:ser>
        <c:dLbls>
          <c:showLegendKey val="0"/>
          <c:showVal val="0"/>
          <c:showCatName val="0"/>
          <c:showSerName val="0"/>
          <c:showPercent val="0"/>
          <c:showBubbleSize val="0"/>
        </c:dLbls>
        <c:axId val="105892480"/>
        <c:axId val="105898368"/>
      </c:scatterChart>
      <c:valAx>
        <c:axId val="105892480"/>
        <c:scaling>
          <c:orientation val="minMax"/>
          <c:max val="1.1000000000000001"/>
          <c:min val="0"/>
        </c:scaling>
        <c:delete val="0"/>
        <c:axPos val="b"/>
        <c:numFmt formatCode="General" sourceLinked="1"/>
        <c:majorTickMark val="out"/>
        <c:minorTickMark val="none"/>
        <c:tickLblPos val="nextTo"/>
        <c:crossAx val="105898368"/>
        <c:crosses val="autoZero"/>
        <c:crossBetween val="midCat"/>
        <c:majorUnit val="0.1"/>
      </c:valAx>
      <c:valAx>
        <c:axId val="105898368"/>
        <c:scaling>
          <c:orientation val="minMax"/>
        </c:scaling>
        <c:delete val="0"/>
        <c:axPos val="l"/>
        <c:majorGridlines/>
        <c:numFmt formatCode="General" sourceLinked="1"/>
        <c:majorTickMark val="out"/>
        <c:minorTickMark val="none"/>
        <c:tickLblPos val="nextTo"/>
        <c:crossAx val="105892480"/>
        <c:crosses val="autoZero"/>
        <c:crossBetween val="midCat"/>
      </c:valAx>
    </c:plotArea>
    <c:legend>
      <c:legendPos val="r"/>
      <c:layout/>
      <c:overlay val="0"/>
    </c:legend>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marker>
            <c:symbol val="none"/>
          </c:marker>
          <c:xVal>
            <c:numRef>
              <c:f>Root!$N$2:$N$31</c:f>
              <c:numCache>
                <c:formatCode>General</c:formatCode>
                <c:ptCount val="30"/>
                <c:pt idx="0">
                  <c:v>900.01878291797902</c:v>
                </c:pt>
                <c:pt idx="1">
                  <c:v>856.85065835616024</c:v>
                </c:pt>
                <c:pt idx="2">
                  <c:v>781.821818485569</c:v>
                </c:pt>
                <c:pt idx="3">
                  <c:v>706.95979000071134</c:v>
                </c:pt>
                <c:pt idx="4">
                  <c:v>632.35742343561401</c:v>
                </c:pt>
                <c:pt idx="5">
                  <c:v>558.14513516026227</c:v>
                </c:pt>
                <c:pt idx="6">
                  <c:v>484.08299635088372</c:v>
                </c:pt>
                <c:pt idx="7">
                  <c:v>409.94544117494064</c:v>
                </c:pt>
                <c:pt idx="8">
                  <c:v>335.17469027463375</c:v>
                </c:pt>
                <c:pt idx="9">
                  <c:v>260.11586820836129</c:v>
                </c:pt>
                <c:pt idx="10">
                  <c:v>184.43709241416218</c:v>
                </c:pt>
                <c:pt idx="11">
                  <c:v>110.72890026366061</c:v>
                </c:pt>
                <c:pt idx="12">
                  <c:v>45.101957236796679</c:v>
                </c:pt>
                <c:pt idx="13">
                  <c:v>13.029032000568991</c:v>
                </c:pt>
                <c:pt idx="14">
                  <c:v>2.3130747227245987</c:v>
                </c:pt>
                <c:pt idx="15">
                  <c:v>8.1387902230530357E-2</c:v>
                </c:pt>
                <c:pt idx="16">
                  <c:v>5.1740213679190896</c:v>
                </c:pt>
                <c:pt idx="17">
                  <c:v>26.436185084872616</c:v>
                </c:pt>
                <c:pt idx="18">
                  <c:v>81.670266955321623</c:v>
                </c:pt>
                <c:pt idx="19">
                  <c:v>154.8949217684054</c:v>
                </c:pt>
                <c:pt idx="20">
                  <c:v>231.38183636172124</c:v>
                </c:pt>
                <c:pt idx="21">
                  <c:v>308.50669401268675</c:v>
                </c:pt>
                <c:pt idx="22">
                  <c:v>386.04276162531409</c:v>
                </c:pt>
                <c:pt idx="23">
                  <c:v>464.12900717166895</c:v>
                </c:pt>
                <c:pt idx="24">
                  <c:v>542.3940818978142</c:v>
                </c:pt>
                <c:pt idx="25">
                  <c:v>620.71427761875736</c:v>
                </c:pt>
                <c:pt idx="26">
                  <c:v>699.02787903256728</c:v>
                </c:pt>
                <c:pt idx="27">
                  <c:v>777.42606051621249</c:v>
                </c:pt>
                <c:pt idx="28">
                  <c:v>855.40800712377995</c:v>
                </c:pt>
                <c:pt idx="29">
                  <c:v>900.01878291797902</c:v>
                </c:pt>
              </c:numCache>
            </c:numRef>
          </c:xVal>
          <c:yVal>
            <c:numRef>
              <c:f>Root!$O$2:$O$31</c:f>
              <c:numCache>
                <c:formatCode>General</c:formatCode>
                <c:ptCount val="30"/>
                <c:pt idx="0">
                  <c:v>-135.51881605168765</c:v>
                </c:pt>
                <c:pt idx="1">
                  <c:v>-123.92459487233876</c:v>
                </c:pt>
                <c:pt idx="2">
                  <c:v>-102.72873415015621</c:v>
                </c:pt>
                <c:pt idx="3">
                  <c:v>-79.902319635870697</c:v>
                </c:pt>
                <c:pt idx="4">
                  <c:v>-55.626775436106279</c:v>
                </c:pt>
                <c:pt idx="5">
                  <c:v>-29.828741058205097</c:v>
                </c:pt>
                <c:pt idx="6">
                  <c:v>-3.8859070499347497</c:v>
                </c:pt>
                <c:pt idx="7">
                  <c:v>19.361510842875919</c:v>
                </c:pt>
                <c:pt idx="8">
                  <c:v>38.751157731171176</c:v>
                </c:pt>
                <c:pt idx="9">
                  <c:v>51.756775879259081</c:v>
                </c:pt>
                <c:pt idx="10">
                  <c:v>58.186542836562396</c:v>
                </c:pt>
                <c:pt idx="11">
                  <c:v>53.77122623454629</c:v>
                </c:pt>
                <c:pt idx="12">
                  <c:v>37.961905089980448</c:v>
                </c:pt>
                <c:pt idx="13">
                  <c:v>19.355692276851315</c:v>
                </c:pt>
                <c:pt idx="14">
                  <c:v>7.5763913072920044</c:v>
                </c:pt>
                <c:pt idx="15">
                  <c:v>-1.4447220827227825</c:v>
                </c:pt>
                <c:pt idx="16">
                  <c:v>-12.704544823091684</c:v>
                </c:pt>
                <c:pt idx="17">
                  <c:v>-28.047800587165788</c:v>
                </c:pt>
                <c:pt idx="18">
                  <c:v>-51.590085300105514</c:v>
                </c:pt>
                <c:pt idx="19">
                  <c:v>-69.36076049802061</c:v>
                </c:pt>
                <c:pt idx="20">
                  <c:v>-82.851366014977401</c:v>
                </c:pt>
                <c:pt idx="21">
                  <c:v>-94.261532872942098</c:v>
                </c:pt>
                <c:pt idx="22">
                  <c:v>-103.63150158170517</c:v>
                </c:pt>
                <c:pt idx="23">
                  <c:v>-111.39149010597546</c:v>
                </c:pt>
                <c:pt idx="24">
                  <c:v>-117.87619917175283</c:v>
                </c:pt>
                <c:pt idx="25">
                  <c:v>-123.11349202182335</c:v>
                </c:pt>
                <c:pt idx="26">
                  <c:v>-127.52194335500728</c:v>
                </c:pt>
                <c:pt idx="27">
                  <c:v>-130.91995995642776</c:v>
                </c:pt>
                <c:pt idx="28">
                  <c:v>-133.77155620667219</c:v>
                </c:pt>
                <c:pt idx="29">
                  <c:v>-135.51881605168765</c:v>
                </c:pt>
              </c:numCache>
            </c:numRef>
          </c:yVal>
          <c:smooth val="1"/>
        </c:ser>
        <c:dLbls>
          <c:showLegendKey val="0"/>
          <c:showVal val="0"/>
          <c:showCatName val="0"/>
          <c:showSerName val="0"/>
          <c:showPercent val="0"/>
          <c:showBubbleSize val="0"/>
        </c:dLbls>
        <c:axId val="106775296"/>
        <c:axId val="106776832"/>
      </c:scatterChart>
      <c:valAx>
        <c:axId val="106775296"/>
        <c:scaling>
          <c:orientation val="minMax"/>
        </c:scaling>
        <c:delete val="0"/>
        <c:axPos val="b"/>
        <c:numFmt formatCode="General" sourceLinked="1"/>
        <c:majorTickMark val="out"/>
        <c:minorTickMark val="none"/>
        <c:tickLblPos val="nextTo"/>
        <c:crossAx val="106776832"/>
        <c:crosses val="autoZero"/>
        <c:crossBetween val="midCat"/>
      </c:valAx>
      <c:valAx>
        <c:axId val="106776832"/>
        <c:scaling>
          <c:orientation val="minMax"/>
        </c:scaling>
        <c:delete val="0"/>
        <c:axPos val="l"/>
        <c:majorGridlines/>
        <c:numFmt formatCode="General" sourceLinked="1"/>
        <c:majorTickMark val="out"/>
        <c:minorTickMark val="none"/>
        <c:tickLblPos val="nextTo"/>
        <c:crossAx val="106775296"/>
        <c:crosses val="autoZero"/>
        <c:crossBetween val="midCat"/>
      </c:valAx>
    </c:plotArea>
    <c:plotVisOnly val="1"/>
    <c:dispBlanksAs val="gap"/>
    <c:showDLblsOverMax val="0"/>
  </c:chart>
  <c:printSettings>
    <c:headerFooter/>
    <c:pageMargins b="0.75000000000000611" l="0.70000000000000062" r="0.70000000000000062" t="0.75000000000000611"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oneCellAnchor>
    <xdr:from>
      <xdr:col>16</xdr:col>
      <xdr:colOff>107156</xdr:colOff>
      <xdr:row>0</xdr:row>
      <xdr:rowOff>15875</xdr:rowOff>
    </xdr:from>
    <xdr:ext cx="7705725" cy="1219565"/>
    <xdr:sp macro="" textlink="">
      <xdr:nvSpPr>
        <xdr:cNvPr id="2" name="TextBox 1"/>
        <xdr:cNvSpPr txBox="1"/>
      </xdr:nvSpPr>
      <xdr:spPr>
        <a:xfrm>
          <a:off x="9789038" y="15875"/>
          <a:ext cx="7705725" cy="121956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200" b="1">
              <a:solidFill>
                <a:srgbClr val="FF0000"/>
              </a:solidFill>
            </a:rPr>
            <a:t>DISCLAIMER:</a:t>
          </a:r>
          <a:r>
            <a:rPr lang="en-US" sz="1200" b="1" baseline="0">
              <a:solidFill>
                <a:srgbClr val="FF0000"/>
              </a:solidFill>
            </a:rPr>
            <a:t> </a:t>
          </a:r>
          <a:r>
            <a:rPr lang="en-US" sz="1200" baseline="0">
              <a:solidFill>
                <a:srgbClr val="FF0000"/>
              </a:solidFill>
            </a:rPr>
            <a:t>The purpose of this Excel file is ONLY designing RC models and not man carrying aircrafts. Designing real aircraft requires  more serious  approach, more detailed calculations and  many other things...  Author doesn't guarantee any accuracy of calculated values and is not responsible for any consequences which come from  using this Excel sheet.  You  are using all data and calculation presented here fully on your own responsibility!</a:t>
          </a:r>
        </a:p>
        <a:p>
          <a:r>
            <a:rPr lang="en-US" sz="1200" baseline="0">
              <a:solidFill>
                <a:srgbClr val="FF0000"/>
              </a:solidFill>
            </a:rPr>
            <a:t>This Excel file is free. You are allowed to use it  and share it.  But, you are not allowed to present it as your own work and place on your web page. If you want to share it use the link from NestOfDragons.net  site.</a:t>
          </a:r>
          <a:endParaRPr lang="en-US" sz="1200">
            <a:solidFill>
              <a:srgbClr val="FF0000"/>
            </a:solidFill>
          </a:endParaRPr>
        </a:p>
      </xdr:txBody>
    </xdr:sp>
    <xdr:clientData/>
  </xdr:oneCellAnchor>
  <xdr:oneCellAnchor>
    <xdr:from>
      <xdr:col>0</xdr:col>
      <xdr:colOff>85024</xdr:colOff>
      <xdr:row>24</xdr:row>
      <xdr:rowOff>69021</xdr:rowOff>
    </xdr:from>
    <xdr:ext cx="9613107" cy="2331279"/>
    <xdr:sp macro="" textlink="">
      <xdr:nvSpPr>
        <xdr:cNvPr id="3" name="TextBox 2"/>
        <xdr:cNvSpPr txBox="1"/>
      </xdr:nvSpPr>
      <xdr:spPr>
        <a:xfrm>
          <a:off x="85024" y="4641021"/>
          <a:ext cx="9613107" cy="233127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b="1"/>
            <a:t>SOME</a:t>
          </a:r>
          <a:r>
            <a:rPr lang="en-US" sz="1100" b="1" baseline="0"/>
            <a:t> GENERAL  GUIDELINES:</a:t>
          </a:r>
          <a:endParaRPr lang="en-US" sz="1100" b="1"/>
        </a:p>
        <a:p>
          <a:endParaRPr lang="en-US" sz="1100"/>
        </a:p>
        <a:p>
          <a:r>
            <a:rPr lang="en-US" sz="1100"/>
            <a:t>-Units used are m,</a:t>
          </a:r>
          <a:r>
            <a:rPr lang="en-US" sz="1100" baseline="0"/>
            <a:t> m^2, m/s, kg</a:t>
          </a:r>
          <a:r>
            <a:rPr lang="en-US" sz="1100"/>
            <a:t>, degrees...</a:t>
          </a:r>
        </a:p>
        <a:p>
          <a:r>
            <a:rPr lang="en-US" sz="1100"/>
            <a:t>-There are some background</a:t>
          </a:r>
          <a:r>
            <a:rPr lang="en-US" sz="1100" baseline="0"/>
            <a:t> </a:t>
          </a:r>
          <a:r>
            <a:rPr lang="en-US" sz="1100"/>
            <a:t>cells  behind graphs</a:t>
          </a:r>
          <a:r>
            <a:rPr lang="en-US" sz="1100" baseline="0"/>
            <a:t> which shouldn't be changed since then calculations  won't work any more, just ignore them.</a:t>
          </a:r>
        </a:p>
        <a:p>
          <a:r>
            <a:rPr lang="en-US" sz="1100" baseline="0"/>
            <a:t>- Enter data ONLY in yellow cells. If you change any of the rest, calculations  won't work any more.</a:t>
          </a:r>
        </a:p>
        <a:p>
          <a:r>
            <a:rPr lang="en-US" sz="1100" baseline="0"/>
            <a:t>- Some cells with more important results are colored green. </a:t>
          </a:r>
        </a:p>
        <a:p>
          <a:r>
            <a:rPr lang="en-US" sz="1100" baseline="0"/>
            <a:t>-It is advisable to keep the original copy of this file in case some calculation cells are changed by accident. </a:t>
          </a:r>
        </a:p>
        <a:p>
          <a:r>
            <a:rPr lang="en-US" sz="1100" baseline="0"/>
            <a:t>-There are comments in some cells, read them since they clarify things.</a:t>
          </a:r>
        </a:p>
        <a:p>
          <a:r>
            <a:rPr lang="en-US" sz="1100" baseline="0"/>
            <a:t>-In some cases common values are suggested. You can use those or change them if you know what you are doing.</a:t>
          </a:r>
        </a:p>
        <a:p>
          <a:r>
            <a:rPr lang="en-US" sz="1100" baseline="0"/>
            <a:t>-Graphs of geometry (wing planform, airfoils...) should be resized according to your monitor in a way that gives a proper relation between vertical and horizontal axis. Only that way you will see the true geometry, otherwise it will be "squished" either from top or sides. </a:t>
          </a:r>
        </a:p>
        <a:p>
          <a:endParaRPr lang="en-US" sz="1100" baseline="0"/>
        </a:p>
        <a:p>
          <a:endParaRPr lang="en-US" sz="1100" baseline="0"/>
        </a:p>
      </xdr:txBody>
    </xdr:sp>
    <xdr:clientData/>
  </xdr:oneCellAnchor>
  <xdr:oneCellAnchor>
    <xdr:from>
      <xdr:col>0</xdr:col>
      <xdr:colOff>85725</xdr:colOff>
      <xdr:row>70</xdr:row>
      <xdr:rowOff>27454</xdr:rowOff>
    </xdr:from>
    <xdr:ext cx="7105650" cy="953466"/>
    <xdr:sp macro="" textlink="">
      <xdr:nvSpPr>
        <xdr:cNvPr id="4" name="TextBox 3"/>
        <xdr:cNvSpPr txBox="1"/>
      </xdr:nvSpPr>
      <xdr:spPr>
        <a:xfrm>
          <a:off x="85725" y="13362454"/>
          <a:ext cx="7105650" cy="95346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If you have some </a:t>
          </a:r>
          <a:r>
            <a:rPr lang="en-US" sz="1100" baseline="0"/>
            <a:t> comments on the work presented here, you found bugs, or something is not clearly explained ,you</a:t>
          </a:r>
        </a:p>
        <a:p>
          <a:r>
            <a:rPr lang="en-US" sz="1100" baseline="0"/>
            <a:t>can contact me. I will try to address the issue as soon as I can.</a:t>
          </a:r>
        </a:p>
        <a:p>
          <a:endParaRPr lang="en-US" sz="1100" baseline="0"/>
        </a:p>
        <a:p>
          <a:r>
            <a:rPr lang="en-US" sz="1100" b="1" baseline="0"/>
            <a:t>Marko Stamenovic</a:t>
          </a:r>
        </a:p>
        <a:p>
          <a:r>
            <a:rPr lang="en-US" sz="1100" b="1" baseline="0"/>
            <a:t>e-mail: ftlltf@yahoo.com</a:t>
          </a:r>
        </a:p>
      </xdr:txBody>
    </xdr:sp>
    <xdr:clientData/>
  </xdr:oneCellAnchor>
  <xdr:oneCellAnchor>
    <xdr:from>
      <xdr:col>0</xdr:col>
      <xdr:colOff>85724</xdr:colOff>
      <xdr:row>0</xdr:row>
      <xdr:rowOff>19050</xdr:rowOff>
    </xdr:from>
    <xdr:ext cx="9607364" cy="1313436"/>
    <xdr:sp macro="" textlink="">
      <xdr:nvSpPr>
        <xdr:cNvPr id="5" name="TextBox 4"/>
        <xdr:cNvSpPr txBox="1"/>
      </xdr:nvSpPr>
      <xdr:spPr>
        <a:xfrm>
          <a:off x="85724" y="19050"/>
          <a:ext cx="9607364" cy="1313436"/>
        </a:xfrm>
        <a:prstGeom prst="rect">
          <a:avLst/>
        </a:prstGeom>
        <a:solidFill>
          <a:schemeClr val="accent3">
            <a:lumMod val="60000"/>
            <a:lumOff val="4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4200" b="1"/>
            <a:t>                      Flying Wing Designer Parabell         </a:t>
          </a:r>
          <a:endParaRPr lang="en-US" sz="1200" b="1"/>
        </a:p>
        <a:p>
          <a:r>
            <a:rPr lang="en-US" sz="1200" b="1" baseline="0"/>
            <a:t>                                                                               VERSION 1.0 by Marko Stamenovic</a:t>
          </a:r>
        </a:p>
        <a:p>
          <a:endParaRPr lang="en-US" sz="1200" b="1" baseline="0"/>
        </a:p>
        <a:p>
          <a:endParaRPr lang="en-US" sz="1200" b="1" baseline="0"/>
        </a:p>
      </xdr:txBody>
    </xdr:sp>
    <xdr:clientData/>
  </xdr:oneCellAnchor>
  <xdr:oneCellAnchor>
    <xdr:from>
      <xdr:col>0</xdr:col>
      <xdr:colOff>99310</xdr:colOff>
      <xdr:row>8</xdr:row>
      <xdr:rowOff>19469</xdr:rowOff>
    </xdr:from>
    <xdr:ext cx="9589295" cy="3020186"/>
    <xdr:sp macro="" textlink="">
      <xdr:nvSpPr>
        <xdr:cNvPr id="6" name="TextBox 5"/>
        <xdr:cNvSpPr txBox="1"/>
      </xdr:nvSpPr>
      <xdr:spPr>
        <a:xfrm>
          <a:off x="99310" y="1543469"/>
          <a:ext cx="9589295" cy="302018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b="1"/>
            <a:t>THE PURPOSE:</a:t>
          </a:r>
        </a:p>
        <a:p>
          <a:endParaRPr lang="en-US" sz="1100" b="1"/>
        </a:p>
        <a:p>
          <a:r>
            <a:rPr lang="en-US" sz="1100"/>
            <a:t>This</a:t>
          </a:r>
          <a:r>
            <a:rPr lang="en-US" sz="1100" baseline="0"/>
            <a:t> Excel file is an attempt of creating tool in order to help RC model builders who are designing flying wings similar to the ones designed by Horten brothers. It can be also used for other types of flying wings but it doesn't take into account any vertical surfaces.  Winglets would influence lift distribution so  nothing would be accurate. </a:t>
          </a:r>
          <a:r>
            <a:rPr lang="en-US" sz="1100" b="1" u="sng" baseline="0"/>
            <a:t>Also, due to simplifications it is  not suitable for designing full scale, man carrying airplanes!</a:t>
          </a:r>
        </a:p>
        <a:p>
          <a:endParaRPr lang="en-US" sz="1100" baseline="0"/>
        </a:p>
        <a:p>
          <a:r>
            <a:rPr lang="en-US" sz="1100" baseline="0"/>
            <a:t>The main goal is to shorten time from choosing planform to having CAD model.  You can also use it to prepare airfoils for XFLR or FLZ Vortex.</a:t>
          </a:r>
        </a:p>
        <a:p>
          <a:endParaRPr lang="en-US" sz="1100" baseline="0"/>
        </a:p>
        <a:p>
          <a:r>
            <a:rPr lang="en-US" sz="1100" baseline="0"/>
            <a:t>Since this type of flying wings use complex, non-linear twist the idea was to calculate airfoil sections across the span so one can copy their coordinates into dat/txt files that can be opened directly from CAD software. That way you avoid designing airfoil sections with twist in CAD which can be time consuming. </a:t>
          </a:r>
        </a:p>
        <a:p>
          <a:endParaRPr lang="en-US" sz="1100" baseline="0"/>
        </a:p>
        <a:p>
          <a:r>
            <a:rPr lang="en-US" sz="1100" baseline="0"/>
            <a:t>First you choose planform, root and tip airfoils and then airfoil coordinates are modified to include: positioning of sections  along the span and  along the airflow axis, rotating for twist angle, increase of chord section to compensate for loss of length due to twist angle so Planform straight lines can be kept when viewed from top .</a:t>
          </a:r>
        </a:p>
        <a:p>
          <a:endParaRPr lang="en-US" sz="1100" baseline="0"/>
        </a:p>
        <a:p>
          <a:r>
            <a:rPr lang="en-US" sz="1100" baseline="0"/>
            <a:t>Neutral point and CG position for corresponding Stability Margin are also calculated using methods presented by Karl Nickel. This method gives good results when applied to the most of Horten's aircrafts. </a:t>
          </a:r>
        </a:p>
        <a:p>
          <a:endParaRPr lang="en-US" sz="1100" baseline="0"/>
        </a:p>
      </xdr:txBody>
    </xdr:sp>
    <xdr:clientData/>
  </xdr:oneCellAnchor>
  <xdr:oneCellAnchor>
    <xdr:from>
      <xdr:col>0</xdr:col>
      <xdr:colOff>98612</xdr:colOff>
      <xdr:row>37</xdr:row>
      <xdr:rowOff>20730</xdr:rowOff>
    </xdr:from>
    <xdr:ext cx="9610725" cy="3192412"/>
    <xdr:sp macro="" textlink="">
      <xdr:nvSpPr>
        <xdr:cNvPr id="7" name="TextBox 6"/>
        <xdr:cNvSpPr txBox="1"/>
      </xdr:nvSpPr>
      <xdr:spPr>
        <a:xfrm>
          <a:off x="98612" y="7069230"/>
          <a:ext cx="9610725" cy="319241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b="1"/>
            <a:t>HOW TO USE:</a:t>
          </a:r>
        </a:p>
        <a:p>
          <a:endParaRPr lang="en-US" sz="1100" b="1" baseline="0"/>
        </a:p>
        <a:p>
          <a:r>
            <a:rPr lang="en-US" sz="1100" baseline="0"/>
            <a:t>- </a:t>
          </a:r>
          <a:r>
            <a:rPr lang="en-US" sz="1100" b="1" baseline="0">
              <a:solidFill>
                <a:schemeClr val="tx1"/>
              </a:solidFill>
              <a:latin typeface="+mn-lt"/>
              <a:ea typeface="+mn-ea"/>
              <a:cs typeface="+mn-cs"/>
            </a:rPr>
            <a:t>Parabell planform, </a:t>
          </a:r>
          <a:r>
            <a:rPr lang="en-US" sz="1100" b="0" baseline="0">
              <a:solidFill>
                <a:schemeClr val="tx1"/>
              </a:solidFill>
              <a:latin typeface="+mn-lt"/>
              <a:ea typeface="+mn-ea"/>
              <a:cs typeface="+mn-cs"/>
            </a:rPr>
            <a:t>s</a:t>
          </a:r>
          <a:r>
            <a:rPr lang="en-US" sz="1100" baseline="0"/>
            <a:t>tart with designing on this page. Input basic planform parameters in yellow cells  and  read comments</a:t>
          </a:r>
          <a:r>
            <a:rPr lang="en-US" sz="1100" b="0" baseline="0"/>
            <a:t>!</a:t>
          </a:r>
        </a:p>
        <a:p>
          <a:endParaRPr lang="en-US" sz="1100" b="0" baseline="0"/>
        </a:p>
        <a:p>
          <a:r>
            <a:rPr lang="en-US" sz="1100" b="0" baseline="0">
              <a:solidFill>
                <a:schemeClr val="tx1"/>
              </a:solidFill>
              <a:effectLst/>
              <a:latin typeface="+mn-lt"/>
              <a:ea typeface="+mn-ea"/>
              <a:cs typeface="+mn-cs"/>
            </a:rPr>
            <a:t>- </a:t>
          </a:r>
          <a:r>
            <a:rPr lang="en-US" sz="1100" b="1" baseline="0">
              <a:solidFill>
                <a:schemeClr val="tx1"/>
              </a:solidFill>
              <a:effectLst/>
              <a:latin typeface="+mn-lt"/>
              <a:ea typeface="+mn-ea"/>
              <a:cs typeface="+mn-cs"/>
            </a:rPr>
            <a:t>Loft viewer,  </a:t>
          </a:r>
          <a:r>
            <a:rPr lang="en-US" sz="1100" b="0" baseline="0">
              <a:solidFill>
                <a:schemeClr val="tx1"/>
              </a:solidFill>
              <a:effectLst/>
              <a:latin typeface="+mn-lt"/>
              <a:ea typeface="+mn-ea"/>
              <a:cs typeface="+mn-cs"/>
            </a:rPr>
            <a:t>this page will load data from previous pages. If you decide to go with automaticly calculated (LLT method) then you don't need to enter twist data here. If you decide to use twist from some other software you need to input twist values into yellow cells.  Keep in mind that links between cells will be lost.  Also,  you can choose chord position around which twist will be done. </a:t>
          </a:r>
          <a:endParaRPr lang="en-US">
            <a:effectLst/>
          </a:endParaRPr>
        </a:p>
        <a:p>
          <a:r>
            <a:rPr lang="en-US" sz="1100" b="0" baseline="0">
              <a:solidFill>
                <a:schemeClr val="tx1"/>
              </a:solidFill>
              <a:effectLst/>
              <a:latin typeface="+mn-lt"/>
              <a:ea typeface="+mn-ea"/>
              <a:cs typeface="+mn-cs"/>
            </a:rPr>
            <a:t>Now you should be able to see all the airfoil sections scaled, positioned and rotated on the graph. </a:t>
          </a:r>
          <a:endParaRPr lang="en-US">
            <a:effectLst/>
          </a:endParaRPr>
        </a:p>
        <a:p>
          <a:endParaRPr lang="en-US" sz="1100" b="0" baseline="0"/>
        </a:p>
        <a:p>
          <a:r>
            <a:rPr lang="en-US" sz="1100" b="0" baseline="0"/>
            <a:t>- </a:t>
          </a:r>
          <a:r>
            <a:rPr lang="en-US" sz="1100" b="1" baseline="0"/>
            <a:t>Airfoil interpolation, </a:t>
          </a:r>
          <a:r>
            <a:rPr lang="en-US" sz="1100" b="0" baseline="0"/>
            <a:t>here you need to enter coordinates of  Root and Tip airfoil. You can obtain these from some airfoil software like XFoil. There should be exactly 30 coordinate points.   Linearly interpolated airfoils will be calculated for all the stations between root and tip. </a:t>
          </a:r>
        </a:p>
        <a:p>
          <a:endParaRPr lang="en-US" sz="1100" b="0" baseline="0"/>
        </a:p>
        <a:p>
          <a:r>
            <a:rPr lang="en-US" sz="1100" b="0" baseline="0"/>
            <a:t>- </a:t>
          </a:r>
          <a:r>
            <a:rPr lang="en-US" sz="1100" b="1" baseline="0"/>
            <a:t>Root to Tip pages,  </a:t>
          </a:r>
          <a:r>
            <a:rPr lang="en-US" sz="1100" b="0" baseline="0"/>
            <a:t>on each page coordinates in green fields are calculated. These represent data that you should copy to data/txt files (for each airfoil section) . Depending on CAD software you are using you  should be able to open these coordinate files. When you  do that for all the airfoils you should have  all that you need to simply loft the sections into wing. Depending on CAD coordinate system  you might want to rotate wing so it is aligned with axis in a convenient way for you.  </a:t>
          </a:r>
        </a:p>
        <a:p>
          <a:endParaRPr lang="en-US" sz="1100" b="0" baseline="0"/>
        </a:p>
        <a:p>
          <a:r>
            <a:rPr lang="en-US" sz="1100" b="1" baseline="0"/>
            <a:t>Note:</a:t>
          </a:r>
          <a:r>
            <a:rPr lang="en-US" sz="1100" b="0" baseline="0"/>
            <a:t> Dihedral angle is not modeled. The reason for this is that it is easier to rotate the whole wing into CAD software once it has been made. Also, it is easier to check the geometry  viewed in graphs if dihedral is not included. </a:t>
          </a:r>
        </a:p>
      </xdr:txBody>
    </xdr:sp>
    <xdr:clientData/>
  </xdr:oneCellAnchor>
  <xdr:oneCellAnchor>
    <xdr:from>
      <xdr:col>0</xdr:col>
      <xdr:colOff>96932</xdr:colOff>
      <xdr:row>64</xdr:row>
      <xdr:rowOff>146237</xdr:rowOff>
    </xdr:from>
    <xdr:ext cx="9620250" cy="953466"/>
    <xdr:sp macro="" textlink="">
      <xdr:nvSpPr>
        <xdr:cNvPr id="8" name="TextBox 7"/>
        <xdr:cNvSpPr txBox="1"/>
      </xdr:nvSpPr>
      <xdr:spPr>
        <a:xfrm>
          <a:off x="96932" y="12338237"/>
          <a:ext cx="9620250" cy="95346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b="1" i="0" u="none" strike="noStrike">
              <a:solidFill>
                <a:schemeClr val="tx1"/>
              </a:solidFill>
              <a:latin typeface="+mn-lt"/>
              <a:ea typeface="+mn-ea"/>
              <a:cs typeface="+mn-cs"/>
            </a:rPr>
            <a:t>ACKNOWLEDGEMENTS</a:t>
          </a:r>
        </a:p>
        <a:p>
          <a:r>
            <a:rPr lang="en-US" sz="1100" b="0" i="0" u="none" strike="noStrike">
              <a:solidFill>
                <a:schemeClr val="tx1"/>
              </a:solidFill>
              <a:latin typeface="+mn-lt"/>
              <a:ea typeface="+mn-ea"/>
              <a:cs typeface="+mn-cs"/>
            </a:rPr>
            <a:t>It would be only fair to mention and thank a few people who indirectly contributed to this excel file:</a:t>
          </a:r>
        </a:p>
        <a:p>
          <a:pPr marL="0" marR="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latin typeface="+mn-lt"/>
              <a:ea typeface="+mn-ea"/>
              <a:cs typeface="+mn-cs"/>
            </a:rPr>
            <a:t>- </a:t>
          </a:r>
          <a:r>
            <a:rPr lang="en-US" sz="1100" b="1" i="0" u="none" strike="noStrike">
              <a:solidFill>
                <a:schemeClr val="tx1"/>
              </a:solidFill>
              <a:latin typeface="+mn-lt"/>
              <a:ea typeface="+mn-ea"/>
              <a:cs typeface="+mn-cs"/>
            </a:rPr>
            <a:t>Koen</a:t>
          </a:r>
          <a:r>
            <a:rPr lang="en-US" sz="1100" b="1" i="0" u="none" strike="noStrike" baseline="0">
              <a:solidFill>
                <a:schemeClr val="tx1"/>
              </a:solidFill>
              <a:latin typeface="+mn-lt"/>
              <a:ea typeface="+mn-ea"/>
              <a:cs typeface="+mn-cs"/>
            </a:rPr>
            <a:t> Van de Kerckhove  </a:t>
          </a:r>
          <a:r>
            <a:rPr lang="en-US" sz="1100" b="0" i="0" u="none" strike="noStrike" baseline="0">
              <a:solidFill>
                <a:schemeClr val="tx1"/>
              </a:solidFill>
              <a:latin typeface="+mn-lt"/>
              <a:ea typeface="+mn-ea"/>
              <a:cs typeface="+mn-cs"/>
            </a:rPr>
            <a:t>from </a:t>
          </a:r>
          <a:r>
            <a:rPr lang="en-US" sz="1100" b="1" i="0" u="none" strike="noStrike" baseline="0">
              <a:solidFill>
                <a:schemeClr val="tx1"/>
              </a:solidFill>
              <a:latin typeface="+mn-lt"/>
              <a:ea typeface="+mn-ea"/>
              <a:cs typeface="+mn-cs"/>
            </a:rPr>
            <a:t>http://www.nestofdragons.net/ </a:t>
          </a:r>
          <a:r>
            <a:rPr lang="en-US" sz="1100" b="0" i="0" u="none" strike="noStrike" baseline="0">
              <a:solidFill>
                <a:schemeClr val="tx1"/>
              </a:solidFill>
              <a:latin typeface="+mn-lt"/>
              <a:ea typeface="+mn-ea"/>
              <a:cs typeface="+mn-cs"/>
            </a:rPr>
            <a:t>for gathering all of us,  Horten enthusiast on a "Horten Believers"  FB Group.</a:t>
          </a:r>
        </a:p>
        <a:p>
          <a:pPr marL="0" marR="0" indent="0" defTabSz="914400" eaLnBrk="1" fontAlgn="auto" latinLnBrk="0" hangingPunct="1">
            <a:lnSpc>
              <a:spcPct val="100000"/>
            </a:lnSpc>
            <a:spcBef>
              <a:spcPts val="0"/>
            </a:spcBef>
            <a:spcAft>
              <a:spcPts val="0"/>
            </a:spcAft>
            <a:buClrTx/>
            <a:buSzTx/>
            <a:buFontTx/>
            <a:buNone/>
            <a:tabLst/>
            <a:defRPr/>
          </a:pPr>
          <a:r>
            <a:rPr lang="en-US" sz="1100" b="0" i="0" u="none" strike="noStrike" baseline="0">
              <a:solidFill>
                <a:schemeClr val="tx1"/>
              </a:solidFill>
              <a:latin typeface="+mn-lt"/>
              <a:ea typeface="+mn-ea"/>
              <a:cs typeface="+mn-cs"/>
            </a:rPr>
            <a:t>- </a:t>
          </a:r>
          <a:r>
            <a:rPr lang="en-US" sz="1100" b="1" i="0" u="none" strike="noStrike" baseline="0">
              <a:solidFill>
                <a:schemeClr val="tx1"/>
              </a:solidFill>
              <a:latin typeface="+mn-lt"/>
              <a:ea typeface="+mn-ea"/>
              <a:cs typeface="+mn-cs"/>
            </a:rPr>
            <a:t>Albion Bower </a:t>
          </a:r>
          <a:r>
            <a:rPr lang="en-US" sz="1100" b="0" i="0" u="none" strike="noStrike" baseline="0">
              <a:solidFill>
                <a:schemeClr val="tx1"/>
              </a:solidFill>
              <a:latin typeface="+mn-lt"/>
              <a:ea typeface="+mn-ea"/>
              <a:cs typeface="+mn-cs"/>
            </a:rPr>
            <a:t>who shared his knowledge with all of us for  many years.</a:t>
          </a:r>
        </a:p>
        <a:p>
          <a:pPr marL="0" marR="0" indent="0" defTabSz="914400" eaLnBrk="1" fontAlgn="auto" latinLnBrk="0" hangingPunct="1">
            <a:lnSpc>
              <a:spcPct val="100000"/>
            </a:lnSpc>
            <a:spcBef>
              <a:spcPts val="0"/>
            </a:spcBef>
            <a:spcAft>
              <a:spcPts val="0"/>
            </a:spcAft>
            <a:buClrTx/>
            <a:buSzTx/>
            <a:buFontTx/>
            <a:buNone/>
            <a:tabLst/>
            <a:defRPr/>
          </a:pPr>
          <a:r>
            <a:rPr lang="en-US" sz="1100" b="0" i="0" u="none" strike="noStrike" baseline="0">
              <a:solidFill>
                <a:schemeClr val="tx1"/>
              </a:solidFill>
              <a:latin typeface="+mn-lt"/>
              <a:ea typeface="+mn-ea"/>
              <a:cs typeface="+mn-cs"/>
            </a:rPr>
            <a:t>- </a:t>
          </a:r>
          <a:r>
            <a:rPr lang="en-US" sz="1100" b="1" i="0" u="none" strike="noStrike" baseline="0">
              <a:solidFill>
                <a:schemeClr val="tx1"/>
              </a:solidFill>
              <a:latin typeface="+mn-lt"/>
              <a:ea typeface="+mn-ea"/>
              <a:cs typeface="+mn-cs"/>
            </a:rPr>
            <a:t>John Newton  </a:t>
          </a:r>
          <a:r>
            <a:rPr lang="en-US" sz="1100" b="0" i="0" u="none" strike="noStrike" baseline="0">
              <a:solidFill>
                <a:schemeClr val="tx1"/>
              </a:solidFill>
              <a:latin typeface="+mn-lt"/>
              <a:ea typeface="+mn-ea"/>
              <a:cs typeface="+mn-cs"/>
            </a:rPr>
            <a:t>for writing a function which describes how NeutralPoint moves along MAC with the change of planform shape, that saved me some time.  </a:t>
          </a:r>
          <a:endParaRPr lang="en-US" sz="1100" b="0" i="0">
            <a:solidFill>
              <a:schemeClr val="tx1"/>
            </a:solidFill>
            <a:latin typeface="+mn-lt"/>
            <a:ea typeface="+mn-ea"/>
            <a:cs typeface="+mn-cs"/>
          </a:endParaRPr>
        </a:p>
      </xdr:txBody>
    </xdr:sp>
    <xdr:clientData/>
  </xdr:oneCellAnchor>
  <xdr:oneCellAnchor>
    <xdr:from>
      <xdr:col>20</xdr:col>
      <xdr:colOff>593912</xdr:colOff>
      <xdr:row>37</xdr:row>
      <xdr:rowOff>112059</xdr:rowOff>
    </xdr:from>
    <xdr:ext cx="5703794" cy="264560"/>
    <xdr:sp macro="" textlink="">
      <xdr:nvSpPr>
        <xdr:cNvPr id="10" name="TextBox 9"/>
        <xdr:cNvSpPr txBox="1"/>
      </xdr:nvSpPr>
      <xdr:spPr>
        <a:xfrm>
          <a:off x="12696265" y="7160559"/>
          <a:ext cx="570379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sz="1100"/>
        </a:p>
      </xdr:txBody>
    </xdr:sp>
    <xdr:clientData/>
  </xdr:oneCellAnchor>
  <xdr:oneCellAnchor>
    <xdr:from>
      <xdr:col>0</xdr:col>
      <xdr:colOff>112059</xdr:colOff>
      <xdr:row>55</xdr:row>
      <xdr:rowOff>168088</xdr:rowOff>
    </xdr:from>
    <xdr:ext cx="9614647" cy="1125693"/>
    <xdr:sp macro="" textlink="">
      <xdr:nvSpPr>
        <xdr:cNvPr id="11" name="TextBox 10"/>
        <xdr:cNvSpPr txBox="1"/>
      </xdr:nvSpPr>
      <xdr:spPr>
        <a:xfrm>
          <a:off x="112059" y="10645588"/>
          <a:ext cx="9614647" cy="112569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b="1" i="0" u="none" strike="noStrike" baseline="0">
              <a:solidFill>
                <a:schemeClr val="tx1"/>
              </a:solidFill>
              <a:latin typeface="+mn-lt"/>
              <a:ea typeface="+mn-ea"/>
              <a:cs typeface="+mn-cs"/>
            </a:rPr>
            <a:t>LIMITATIONS:</a:t>
          </a:r>
        </a:p>
        <a:p>
          <a:endParaRPr lang="en-US" sz="1100" b="0" i="0" u="none" strike="noStrike" baseline="0">
            <a:solidFill>
              <a:schemeClr val="tx1"/>
            </a:solidFill>
            <a:latin typeface="+mn-lt"/>
            <a:ea typeface="+mn-ea"/>
            <a:cs typeface="+mn-cs"/>
          </a:endParaRPr>
        </a:p>
        <a:p>
          <a:r>
            <a:rPr lang="en-US" sz="1100" b="0" i="0" u="none" strike="noStrike" baseline="0">
              <a:solidFill>
                <a:schemeClr val="tx1"/>
              </a:solidFill>
              <a:latin typeface="+mn-lt"/>
              <a:ea typeface="+mn-ea"/>
              <a:cs typeface="+mn-cs"/>
            </a:rPr>
            <a:t>- Lifting Line theory was used to create twist for desired lift distribution. It is only accurate for small sweep angles.</a:t>
          </a:r>
        </a:p>
        <a:p>
          <a:endParaRPr lang="en-US" sz="1100" b="0" i="0" u="none" strike="noStrike" baseline="0">
            <a:solidFill>
              <a:schemeClr val="tx1"/>
            </a:solidFill>
            <a:latin typeface="+mn-lt"/>
            <a:ea typeface="+mn-ea"/>
            <a:cs typeface="+mn-cs"/>
          </a:endParaRPr>
        </a:p>
        <a:p>
          <a:r>
            <a:rPr lang="en-US" sz="1100" b="0" i="0" u="none" strike="noStrike" baseline="0">
              <a:solidFill>
                <a:schemeClr val="tx1"/>
              </a:solidFill>
              <a:latin typeface="+mn-lt"/>
              <a:ea typeface="+mn-ea"/>
              <a:cs typeface="+mn-cs"/>
            </a:rPr>
            <a:t>Maybe in the future there will be a new version with more accurate methods but for now this is it.  It is not  too important since the main idea of the software is to provide geometry for CAD and it can be used with some VLM software if one wish better results.</a:t>
          </a:r>
          <a:endParaRPr lang="en-US" sz="1100" b="0" i="0">
            <a:solidFill>
              <a:schemeClr val="tx1"/>
            </a:solidFill>
            <a:latin typeface="+mn-lt"/>
            <a:ea typeface="+mn-ea"/>
            <a:cs typeface="+mn-cs"/>
          </a:endParaRPr>
        </a:p>
      </xdr:txBody>
    </xdr:sp>
    <xdr:clientData/>
  </xdr:oneCellAnchor>
  <xdr:twoCellAnchor editAs="oneCell">
    <xdr:from>
      <xdr:col>16</xdr:col>
      <xdr:colOff>497417</xdr:colOff>
      <xdr:row>8</xdr:row>
      <xdr:rowOff>10583</xdr:rowOff>
    </xdr:from>
    <xdr:to>
      <xdr:col>21</xdr:col>
      <xdr:colOff>107442</xdr:colOff>
      <xdr:row>22</xdr:row>
      <xdr:rowOff>22775</xdr:rowOff>
    </xdr:to>
    <xdr:pic>
      <xdr:nvPicPr>
        <xdr:cNvPr id="12" name="Afbeelding 11" descr="Exclusive.jpg"/>
        <xdr:cNvPicPr>
          <a:picLocks noChangeAspect="1"/>
        </xdr:cNvPicPr>
      </xdr:nvPicPr>
      <xdr:blipFill>
        <a:blip xmlns:r="http://schemas.openxmlformats.org/officeDocument/2006/relationships" r:embed="rId1" cstate="print"/>
        <a:stretch>
          <a:fillRect/>
        </a:stretch>
      </xdr:blipFill>
      <xdr:spPr>
        <a:xfrm>
          <a:off x="10318750" y="1534583"/>
          <a:ext cx="2679192" cy="2679192"/>
        </a:xfrm>
        <a:prstGeom prst="rect">
          <a:avLst/>
        </a:prstGeom>
      </xdr:spPr>
    </xdr:pic>
    <xdr:clientData/>
  </xdr:twoCellAnchor>
  <xdr:twoCellAnchor editAs="oneCell">
    <xdr:from>
      <xdr:col>0</xdr:col>
      <xdr:colOff>63501</xdr:colOff>
      <xdr:row>0</xdr:row>
      <xdr:rowOff>63501</xdr:rowOff>
    </xdr:from>
    <xdr:to>
      <xdr:col>4</xdr:col>
      <xdr:colOff>317500</xdr:colOff>
      <xdr:row>6</xdr:row>
      <xdr:rowOff>158750</xdr:rowOff>
    </xdr:to>
    <xdr:pic>
      <xdr:nvPicPr>
        <xdr:cNvPr id="14" name="Picture 1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501" y="63501"/>
          <a:ext cx="2709332" cy="12382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85725</xdr:colOff>
      <xdr:row>32</xdr:row>
      <xdr:rowOff>0</xdr:rowOff>
    </xdr:from>
    <xdr:to>
      <xdr:col>16</xdr:col>
      <xdr:colOff>0</xdr:colOff>
      <xdr:row>42</xdr:row>
      <xdr:rowOff>57150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85724</xdr:colOff>
      <xdr:row>31</xdr:row>
      <xdr:rowOff>66675</xdr:rowOff>
    </xdr:from>
    <xdr:to>
      <xdr:col>16</xdr:col>
      <xdr:colOff>0</xdr:colOff>
      <xdr:row>41</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247650</xdr:colOff>
      <xdr:row>32</xdr:row>
      <xdr:rowOff>0</xdr:rowOff>
    </xdr:from>
    <xdr:to>
      <xdr:col>16</xdr:col>
      <xdr:colOff>0</xdr:colOff>
      <xdr:row>40</xdr:row>
      <xdr:rowOff>180975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114299</xdr:colOff>
      <xdr:row>32</xdr:row>
      <xdr:rowOff>0</xdr:rowOff>
    </xdr:from>
    <xdr:to>
      <xdr:col>16</xdr:col>
      <xdr:colOff>0</xdr:colOff>
      <xdr:row>41</xdr:row>
      <xdr:rowOff>76200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104775</xdr:colOff>
      <xdr:row>31</xdr:row>
      <xdr:rowOff>114300</xdr:rowOff>
    </xdr:from>
    <xdr:to>
      <xdr:col>16</xdr:col>
      <xdr:colOff>0</xdr:colOff>
      <xdr:row>40</xdr:row>
      <xdr:rowOff>66675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409575</xdr:colOff>
      <xdr:row>31</xdr:row>
      <xdr:rowOff>57150</xdr:rowOff>
    </xdr:from>
    <xdr:to>
      <xdr:col>16</xdr:col>
      <xdr:colOff>1</xdr:colOff>
      <xdr:row>40</xdr:row>
      <xdr:rowOff>171450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57149</xdr:colOff>
      <xdr:row>31</xdr:row>
      <xdr:rowOff>19049</xdr:rowOff>
    </xdr:from>
    <xdr:to>
      <xdr:col>16</xdr:col>
      <xdr:colOff>0</xdr:colOff>
      <xdr:row>39</xdr:row>
      <xdr:rowOff>66674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31</xdr:row>
      <xdr:rowOff>161925</xdr:rowOff>
    </xdr:from>
    <xdr:to>
      <xdr:col>16</xdr:col>
      <xdr:colOff>0</xdr:colOff>
      <xdr:row>40</xdr:row>
      <xdr:rowOff>152399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0</xdr:col>
      <xdr:colOff>285748</xdr:colOff>
      <xdr:row>0</xdr:row>
      <xdr:rowOff>85725</xdr:rowOff>
    </xdr:from>
    <xdr:ext cx="8572502" cy="781240"/>
    <xdr:sp macro="" textlink="">
      <xdr:nvSpPr>
        <xdr:cNvPr id="2" name="TextBox 1"/>
        <xdr:cNvSpPr txBox="1"/>
      </xdr:nvSpPr>
      <xdr:spPr>
        <a:xfrm>
          <a:off x="285748" y="85725"/>
          <a:ext cx="8572502" cy="78124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Here you can find coordinates for some commonly used airfoils.</a:t>
          </a:r>
          <a:r>
            <a:rPr lang="en-US" sz="1100" baseline="0"/>
            <a:t>  There are a lot of other options out there so be sure to check what suits your design. Be free to explore airfoil choices outside this file. You can build your own database here for future use. </a:t>
          </a:r>
        </a:p>
        <a:p>
          <a:r>
            <a:rPr lang="en-US" sz="1100" baseline="0"/>
            <a:t>If you wish to use them just copy  data into appropriate position in yellow fields on "Airfoil Interpolation" page.</a:t>
          </a:r>
        </a:p>
        <a:p>
          <a:r>
            <a:rPr lang="en-US" sz="1100" baseline="0"/>
            <a:t>Remember to enter airfoil data on "Parabell Planform" page and keep in mind that these values might vary a little with the change of Re number.</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28574</xdr:colOff>
      <xdr:row>2</xdr:row>
      <xdr:rowOff>38100</xdr:rowOff>
    </xdr:from>
    <xdr:to>
      <xdr:col>16</xdr:col>
      <xdr:colOff>533399</xdr:colOff>
      <xdr:row>19</xdr:row>
      <xdr:rowOff>77107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612772</xdr:colOff>
      <xdr:row>2</xdr:row>
      <xdr:rowOff>78316</xdr:rowOff>
    </xdr:from>
    <xdr:to>
      <xdr:col>30</xdr:col>
      <xdr:colOff>394228</xdr:colOff>
      <xdr:row>16</xdr:row>
      <xdr:rowOff>1058</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34924</xdr:colOff>
      <xdr:row>19</xdr:row>
      <xdr:rowOff>104775</xdr:rowOff>
    </xdr:from>
    <xdr:to>
      <xdr:col>16</xdr:col>
      <xdr:colOff>529166</xdr:colOff>
      <xdr:row>37</xdr:row>
      <xdr:rowOff>7106</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15875</xdr:colOff>
      <xdr:row>16</xdr:row>
      <xdr:rowOff>42333</xdr:rowOff>
    </xdr:from>
    <xdr:to>
      <xdr:col>30</xdr:col>
      <xdr:colOff>398197</xdr:colOff>
      <xdr:row>32</xdr:row>
      <xdr:rowOff>166158</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37042</xdr:colOff>
      <xdr:row>33</xdr:row>
      <xdr:rowOff>26458</xdr:rowOff>
    </xdr:from>
    <xdr:to>
      <xdr:col>30</xdr:col>
      <xdr:colOff>412750</xdr:colOff>
      <xdr:row>46</xdr:row>
      <xdr:rowOff>150283</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12</xdr:col>
      <xdr:colOff>340179</xdr:colOff>
      <xdr:row>0</xdr:row>
      <xdr:rowOff>149676</xdr:rowOff>
    </xdr:from>
    <xdr:ext cx="2582333" cy="843821"/>
    <xdr:sp macro="" textlink="">
      <xdr:nvSpPr>
        <xdr:cNvPr id="8" name="TextBox 7"/>
        <xdr:cNvSpPr txBox="1"/>
      </xdr:nvSpPr>
      <xdr:spPr>
        <a:xfrm>
          <a:off x="8891512" y="149676"/>
          <a:ext cx="2582333" cy="84382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a:solidFill>
                <a:srgbClr val="FF0000"/>
              </a:solidFill>
            </a:rPr>
            <a:t>Red</a:t>
          </a:r>
          <a:r>
            <a:rPr lang="en-US" sz="1200" b="1" baseline="0">
              <a:solidFill>
                <a:srgbClr val="FF0000"/>
              </a:solidFill>
            </a:rPr>
            <a:t> solid line </a:t>
          </a:r>
          <a:r>
            <a:rPr lang="en-US" sz="1200" b="1" baseline="0"/>
            <a:t>..................CG</a:t>
          </a:r>
        </a:p>
        <a:p>
          <a:r>
            <a:rPr lang="en-US" sz="1200" b="1" baseline="0">
              <a:solidFill>
                <a:srgbClr val="FF0000"/>
              </a:solidFill>
            </a:rPr>
            <a:t>Red dashed lines</a:t>
          </a:r>
          <a:r>
            <a:rPr lang="en-US" sz="1200" b="1" baseline="0"/>
            <a:t>............NP</a:t>
          </a:r>
        </a:p>
        <a:p>
          <a:r>
            <a:rPr lang="en-US" sz="1200" b="1" baseline="0">
              <a:solidFill>
                <a:schemeClr val="accent3"/>
              </a:solidFill>
            </a:rPr>
            <a:t>Green vert. line</a:t>
          </a:r>
          <a:r>
            <a:rPr lang="en-US" sz="1200" b="1" baseline="0"/>
            <a:t>..............MAC</a:t>
          </a:r>
        </a:p>
        <a:p>
          <a:r>
            <a:rPr lang="en-US" sz="1200" b="1" baseline="0">
              <a:solidFill>
                <a:schemeClr val="accent3"/>
              </a:solidFill>
            </a:rPr>
            <a:t>Green hor. line</a:t>
          </a:r>
          <a:r>
            <a:rPr lang="en-US" sz="1200" b="1" baseline="0"/>
            <a:t>...............25% of MAC</a:t>
          </a:r>
          <a:endParaRPr lang="en-US" sz="1200" b="1"/>
        </a:p>
      </xdr:txBody>
    </xdr:sp>
    <xdr:clientData/>
  </xdr:oneCellAnchor>
  <xdr:oneCellAnchor>
    <xdr:from>
      <xdr:col>2</xdr:col>
      <xdr:colOff>232833</xdr:colOff>
      <xdr:row>0</xdr:row>
      <xdr:rowOff>84667</xdr:rowOff>
    </xdr:from>
    <xdr:ext cx="4836584" cy="264560"/>
    <xdr:sp macro="" textlink="">
      <xdr:nvSpPr>
        <xdr:cNvPr id="10" name="TextBox 9"/>
        <xdr:cNvSpPr txBox="1"/>
      </xdr:nvSpPr>
      <xdr:spPr>
        <a:xfrm>
          <a:off x="2709333" y="84667"/>
          <a:ext cx="4836584" cy="26456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b="1"/>
            <a:t>NOTE: Graphs show Twist, Gamma, Cl and Re  for which BSLD  is designed.</a:t>
          </a:r>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11</xdr:row>
      <xdr:rowOff>-1</xdr:rowOff>
    </xdr:from>
    <xdr:to>
      <xdr:col>27</xdr:col>
      <xdr:colOff>0</xdr:colOff>
      <xdr:row>35</xdr:row>
      <xdr:rowOff>23812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35</xdr:row>
      <xdr:rowOff>178593</xdr:rowOff>
    </xdr:from>
    <xdr:to>
      <xdr:col>27</xdr:col>
      <xdr:colOff>47626</xdr:colOff>
      <xdr:row>51</xdr:row>
      <xdr:rowOff>178593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14</xdr:col>
      <xdr:colOff>255058</xdr:colOff>
      <xdr:row>0</xdr:row>
      <xdr:rowOff>49742</xdr:rowOff>
    </xdr:from>
    <xdr:ext cx="5523443" cy="1986826"/>
    <xdr:sp macro="" textlink="">
      <xdr:nvSpPr>
        <xdr:cNvPr id="4" name="TextBox 3"/>
        <xdr:cNvSpPr txBox="1"/>
      </xdr:nvSpPr>
      <xdr:spPr>
        <a:xfrm>
          <a:off x="10708746" y="49742"/>
          <a:ext cx="5523443" cy="198682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On this page you have two options:</a:t>
          </a:r>
        </a:p>
        <a:p>
          <a:endParaRPr lang="en-US" sz="1100"/>
        </a:p>
        <a:p>
          <a:r>
            <a:rPr lang="en-US" sz="1100" b="1"/>
            <a:t>1</a:t>
          </a:r>
          <a:r>
            <a:rPr lang="en-US" sz="1100"/>
            <a:t> -</a:t>
          </a:r>
          <a:r>
            <a:rPr lang="en-US" sz="1100" baseline="0"/>
            <a:t> Take  values  calculated using  LLT which disregards effects of sweep (requires no input)</a:t>
          </a:r>
        </a:p>
        <a:p>
          <a:r>
            <a:rPr lang="en-US" sz="1100" b="1" baseline="0"/>
            <a:t>2</a:t>
          </a:r>
          <a:r>
            <a:rPr lang="en-US" sz="1100" baseline="0"/>
            <a:t> - Manually input  values  for twist calculated using some other software (FLZ_Vortex, Nurflugel, XFLR5...)</a:t>
          </a:r>
        </a:p>
        <a:p>
          <a:endParaRPr lang="en-US" sz="1100" baseline="0"/>
        </a:p>
        <a:p>
          <a:r>
            <a:rPr lang="en-US" sz="1100" baseline="0"/>
            <a:t>You can choose point on chord around which  twist rotation is  done in upper left corner.</a:t>
          </a:r>
        </a:p>
        <a:p>
          <a:endParaRPr lang="en-US" sz="1100" baseline="0"/>
        </a:p>
        <a:p>
          <a:r>
            <a:rPr lang="en-US" sz="1100" b="1" baseline="0">
              <a:solidFill>
                <a:srgbClr val="FF0000"/>
              </a:solidFill>
            </a:rPr>
            <a:t>NOTE: </a:t>
          </a:r>
          <a:r>
            <a:rPr lang="en-US" sz="1100" baseline="0"/>
            <a:t>If you enter new values for twist, connection between twist cells  and  calculated values  will be lost. Keep another copy of excel file or re-establish links between cells  manually if needed.</a:t>
          </a:r>
        </a:p>
      </xdr:txBody>
    </xdr:sp>
    <xdr:clientData/>
  </xdr:oneCellAnchor>
  <xdr:oneCellAnchor>
    <xdr:from>
      <xdr:col>20</xdr:col>
      <xdr:colOff>547688</xdr:colOff>
      <xdr:row>36</xdr:row>
      <xdr:rowOff>142875</xdr:rowOff>
    </xdr:from>
    <xdr:ext cx="3406895" cy="609013"/>
    <xdr:sp macro="" textlink="">
      <xdr:nvSpPr>
        <xdr:cNvPr id="5" name="TextBox 4"/>
        <xdr:cNvSpPr txBox="1"/>
      </xdr:nvSpPr>
      <xdr:spPr>
        <a:xfrm>
          <a:off x="14644688" y="7036594"/>
          <a:ext cx="3406895" cy="609013"/>
        </a:xfrm>
        <a:prstGeom prst="rect">
          <a:avLst/>
        </a:prstGeom>
        <a:solidFill>
          <a:schemeClr val="bg2"/>
        </a:solidFill>
        <a:ln>
          <a:solidFill>
            <a:schemeClr val="accent1"/>
          </a:solidFill>
        </a:ln>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b="1"/>
            <a:t>NOTE:</a:t>
          </a:r>
          <a:r>
            <a:rPr lang="en-US" sz="1100"/>
            <a:t> Graph is here just for convinience so you can</a:t>
          </a:r>
          <a:r>
            <a:rPr lang="en-US" sz="1100" baseline="0"/>
            <a:t> see </a:t>
          </a:r>
        </a:p>
        <a:p>
          <a:r>
            <a:rPr lang="en-US" sz="1100" baseline="0"/>
            <a:t>twist in case you enter values manually from other </a:t>
          </a:r>
        </a:p>
        <a:p>
          <a:r>
            <a:rPr lang="en-US" sz="1100" baseline="0"/>
            <a:t>software.</a:t>
          </a:r>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0</xdr:colOff>
      <xdr:row>35</xdr:row>
      <xdr:rowOff>1</xdr:rowOff>
    </xdr:from>
    <xdr:to>
      <xdr:col>41</xdr:col>
      <xdr:colOff>0</xdr:colOff>
      <xdr:row>64</xdr:row>
      <xdr:rowOff>59531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297656</xdr:colOff>
      <xdr:row>34</xdr:row>
      <xdr:rowOff>154782</xdr:rowOff>
    </xdr:from>
    <xdr:ext cx="3417092" cy="4742452"/>
    <xdr:sp macro="" textlink="">
      <xdr:nvSpPr>
        <xdr:cNvPr id="3" name="TextBox 2"/>
        <xdr:cNvSpPr txBox="1"/>
      </xdr:nvSpPr>
      <xdr:spPr>
        <a:xfrm>
          <a:off x="297656" y="6655595"/>
          <a:ext cx="3417092" cy="4742452"/>
        </a:xfrm>
        <a:prstGeom prst="rect">
          <a:avLst/>
        </a:prstGeom>
        <a:solidFill>
          <a:schemeClr val="bg1"/>
        </a:solidFill>
        <a:ln>
          <a:solidFill>
            <a:schemeClr val="accent1"/>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Insert Root and Tip airfoils coordinates into yellow fields. Number of points should</a:t>
          </a:r>
          <a:r>
            <a:rPr lang="en-US" sz="1100" baseline="0"/>
            <a:t> be exactly 30.  The rest of the fields represent  calculated   linearly interpolated  airfoils between root and tip. </a:t>
          </a:r>
        </a:p>
        <a:p>
          <a:endParaRPr lang="en-US" sz="1100" baseline="0"/>
        </a:p>
        <a:p>
          <a:r>
            <a:rPr lang="en-US" sz="1100" baseline="0"/>
            <a:t>The graph on the right shows Root (</a:t>
          </a:r>
          <a:r>
            <a:rPr lang="en-US" sz="1100" b="1" baseline="0">
              <a:solidFill>
                <a:srgbClr val="0070C0"/>
              </a:solidFill>
            </a:rPr>
            <a:t>blue</a:t>
          </a:r>
          <a:r>
            <a:rPr lang="en-US" sz="1100" baseline="0">
              <a:solidFill>
                <a:sysClr val="windowText" lastClr="000000"/>
              </a:solidFill>
            </a:rPr>
            <a:t>) </a:t>
          </a:r>
          <a:r>
            <a:rPr lang="en-US" sz="1100" baseline="0"/>
            <a:t>and Tip (</a:t>
          </a:r>
          <a:r>
            <a:rPr lang="en-US" sz="1100" b="1" baseline="0">
              <a:solidFill>
                <a:srgbClr val="FF0000"/>
              </a:solidFill>
            </a:rPr>
            <a:t>red</a:t>
          </a:r>
          <a:r>
            <a:rPr lang="en-US" sz="1100" baseline="0">
              <a:solidFill>
                <a:sysClr val="windowText" lastClr="000000"/>
              </a:solidFill>
            </a:rPr>
            <a:t>) </a:t>
          </a:r>
          <a:r>
            <a:rPr lang="en-US" sz="1100" baseline="0"/>
            <a:t>airfoils. </a:t>
          </a:r>
          <a:r>
            <a:rPr lang="en-US" sz="1100" b="1" baseline="0">
              <a:solidFill>
                <a:srgbClr val="92D050"/>
              </a:solidFill>
            </a:rPr>
            <a:t>Green</a:t>
          </a:r>
          <a:r>
            <a:rPr lang="en-US" sz="1100" baseline="0"/>
            <a:t> airfoil is interpolated airfoil. By selecting data from above  columns you can choose which airfoil is show.  Airfoil number marked with number 6 is shown by default. To change it simply click on green airfoil on the graph and drag the data fields to columns of airfoil you wish to be shown. </a:t>
          </a:r>
        </a:p>
        <a:p>
          <a:endParaRPr lang="en-US" sz="1100" baseline="0"/>
        </a:p>
        <a:p>
          <a:r>
            <a:rPr lang="en-US" sz="1100" baseline="0">
              <a:solidFill>
                <a:srgbClr val="FF0000"/>
              </a:solidFill>
            </a:rPr>
            <a:t>NOTE: </a:t>
          </a:r>
          <a:r>
            <a:rPr lang="en-US" sz="1100" baseline="0"/>
            <a:t>When importing and exporting  airfoil coordinates care must be taken that comma s and  decimal points are used  appropriately. Depending on software you  use it might be needed that you change those before entering or  after exporting airfoil data. </a:t>
          </a:r>
        </a:p>
        <a:p>
          <a:endParaRPr lang="en-US" sz="1100" baseline="0"/>
        </a:p>
        <a:p>
          <a:r>
            <a:rPr lang="en-US" sz="1100" baseline="0"/>
            <a:t>If you are exporting airfoil from XFLR5, you will have to change dots into commas  in dat file before copying data here. After you paste data , click on paste option icon that apears at the bottom and  choose "Use tex t import wizard". Click  "Finish " and that is it. </a:t>
          </a:r>
        </a:p>
        <a:p>
          <a:endParaRPr lang="en-US" sz="1100" baseline="0"/>
        </a:p>
        <a:p>
          <a:r>
            <a:rPr lang="en-US" sz="1100" baseline="0"/>
            <a:t>If you want to use interpolated airfoils in XFLR5 or FLZ_Vortex copy airfoil coordinates  from  this page.</a:t>
          </a:r>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346073</xdr:colOff>
      <xdr:row>32</xdr:row>
      <xdr:rowOff>32809</xdr:rowOff>
    </xdr:from>
    <xdr:to>
      <xdr:col>15</xdr:col>
      <xdr:colOff>488950</xdr:colOff>
      <xdr:row>42</xdr:row>
      <xdr:rowOff>128059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84666</xdr:colOff>
      <xdr:row>31</xdr:row>
      <xdr:rowOff>79375</xdr:rowOff>
    </xdr:from>
    <xdr:to>
      <xdr:col>18</xdr:col>
      <xdr:colOff>126999</xdr:colOff>
      <xdr:row>44</xdr:row>
      <xdr:rowOff>116416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190501</xdr:colOff>
      <xdr:row>31</xdr:row>
      <xdr:rowOff>17992</xdr:rowOff>
    </xdr:from>
    <xdr:to>
      <xdr:col>19</xdr:col>
      <xdr:colOff>0</xdr:colOff>
      <xdr:row>45</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114299</xdr:colOff>
      <xdr:row>32</xdr:row>
      <xdr:rowOff>0</xdr:rowOff>
    </xdr:from>
    <xdr:to>
      <xdr:col>16</xdr:col>
      <xdr:colOff>0</xdr:colOff>
      <xdr:row>41</xdr:row>
      <xdr:rowOff>85725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32</xdr:row>
      <xdr:rowOff>0</xdr:rowOff>
    </xdr:from>
    <xdr:to>
      <xdr:col>16</xdr:col>
      <xdr:colOff>1</xdr:colOff>
      <xdr:row>41</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Q35"/>
  <sheetViews>
    <sheetView topLeftCell="A50" zoomScale="90" zoomScaleNormal="90" workbookViewId="0">
      <selection activeCell="D83" sqref="D83"/>
    </sheetView>
  </sheetViews>
  <sheetFormatPr defaultRowHeight="15" x14ac:dyDescent="0.25"/>
  <sheetData>
    <row r="14" spans="1:7" x14ac:dyDescent="0.25">
      <c r="A14" s="30"/>
      <c r="B14" s="30"/>
      <c r="C14" s="30"/>
      <c r="D14" s="30"/>
      <c r="E14" s="30"/>
      <c r="F14" s="30"/>
      <c r="G14" s="30"/>
    </row>
    <row r="15" spans="1:7" x14ac:dyDescent="0.25">
      <c r="A15" s="30"/>
      <c r="B15" s="30"/>
      <c r="C15" s="4"/>
      <c r="D15" s="4"/>
      <c r="E15" s="4"/>
      <c r="F15" s="4"/>
      <c r="G15" s="4"/>
    </row>
    <row r="16" spans="1:7" x14ac:dyDescent="0.25">
      <c r="A16" s="16"/>
      <c r="B16" s="16"/>
      <c r="C16" s="16"/>
      <c r="D16" s="16"/>
      <c r="E16" s="4"/>
      <c r="F16" s="4"/>
      <c r="G16" s="4"/>
    </row>
    <row r="30" spans="17:17" x14ac:dyDescent="0.25">
      <c r="Q30" s="31"/>
    </row>
    <row r="31" spans="17:17" x14ac:dyDescent="0.25">
      <c r="Q31" s="31"/>
    </row>
    <row r="32" spans="17:17" x14ac:dyDescent="0.25">
      <c r="Q32" s="31"/>
    </row>
    <row r="33" spans="17:17" x14ac:dyDescent="0.25">
      <c r="Q33" s="31"/>
    </row>
    <row r="34" spans="17:17" x14ac:dyDescent="0.25">
      <c r="Q34" s="31"/>
    </row>
    <row r="35" spans="17:17" x14ac:dyDescent="0.25">
      <c r="Q35" s="31"/>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activeCell="V15" sqref="V15"/>
    </sheetView>
  </sheetViews>
  <sheetFormatPr defaultRowHeight="15" x14ac:dyDescent="0.25"/>
  <sheetData>
    <row r="1" spans="1:16" ht="15.75" thickBot="1" x14ac:dyDescent="0.3">
      <c r="A1">
        <v>6</v>
      </c>
      <c r="D1" t="s">
        <v>0</v>
      </c>
      <c r="E1" t="s">
        <v>1</v>
      </c>
      <c r="F1" t="s">
        <v>2</v>
      </c>
      <c r="G1" t="s">
        <v>5</v>
      </c>
      <c r="J1" t="s">
        <v>10</v>
      </c>
      <c r="K1" t="s">
        <v>9</v>
      </c>
      <c r="N1" s="6" t="s">
        <v>6</v>
      </c>
      <c r="O1" s="6" t="s">
        <v>7</v>
      </c>
      <c r="P1" s="6" t="s">
        <v>8</v>
      </c>
    </row>
    <row r="2" spans="1:16" x14ac:dyDescent="0.25">
      <c r="A2">
        <f>'Airfoil Interpolation'!Y4</f>
        <v>1</v>
      </c>
      <c r="B2">
        <f>'Airfoil Interpolation'!Z4</f>
        <v>5.1916666666666658E-4</v>
      </c>
      <c r="D2" s="4">
        <f>'Loft Viewer'!G5</f>
        <v>0.625</v>
      </c>
      <c r="E2" s="4">
        <f>'Loft Viewer'!G6</f>
        <v>0.76848958333333339</v>
      </c>
      <c r="F2" s="4">
        <f>'Loft Viewer'!G7</f>
        <v>0.1953125</v>
      </c>
      <c r="G2" s="4">
        <f>-'Loft Viewer'!G8</f>
        <v>-6.9346026239861676</v>
      </c>
      <c r="J2">
        <f>'Loft Viewer'!B2</f>
        <v>0</v>
      </c>
      <c r="K2" s="1">
        <f>((A2)*COS(3.14*G2/180)-B2*SIN(3.14*G2/180))</f>
        <v>0.99275466362004505</v>
      </c>
      <c r="L2" s="1">
        <f>((A2)*SIN(3.14*G2/180)+B2*COS(3.14*G2/180))/COS(3.14*G2/180)</f>
        <v>-0.12104468367191992</v>
      </c>
      <c r="N2" s="22">
        <f>K2*E2*1000/COS(G2*3.14/180)+F2*1000</f>
        <v>963.85058417027415</v>
      </c>
      <c r="O2" s="23">
        <f>L2*E2*1000/COS(G2*3.14/180)-J2*E2*L2*1000/COS(3.14*G2/180)</f>
        <v>-93.70638355804131</v>
      </c>
      <c r="P2" s="24">
        <f>D2*1000</f>
        <v>625</v>
      </c>
    </row>
    <row r="3" spans="1:16" x14ac:dyDescent="0.25">
      <c r="A3">
        <f>'Airfoil Interpolation'!Y5</f>
        <v>0.95414083333333333</v>
      </c>
      <c r="B3">
        <f>'Airfoil Interpolation'!Z5</f>
        <v>5.6933333333333332E-3</v>
      </c>
      <c r="D3">
        <f>D2</f>
        <v>0.625</v>
      </c>
      <c r="E3">
        <f>E2</f>
        <v>0.76848958333333339</v>
      </c>
      <c r="F3">
        <f>F2</f>
        <v>0.1953125</v>
      </c>
      <c r="G3">
        <f>G2</f>
        <v>-6.9346026239861676</v>
      </c>
      <c r="J3">
        <f>J2</f>
        <v>0</v>
      </c>
      <c r="K3" s="1">
        <f t="shared" ref="K3:K31" si="0">((A3)*COS(3.14*G3/180)-B3*SIN(3.14*G3/180))</f>
        <v>0.94785503010952643</v>
      </c>
      <c r="L3" s="1">
        <f t="shared" ref="L3:L31" si="1">((A3)*SIN(3.14*G3/180)+B3*COS(3.14*G3/180))/COS(3.14*G3/180)</f>
        <v>-0.11029570013193431</v>
      </c>
      <c r="N3" s="25">
        <f t="shared" ref="N3:N31" si="2">K3*E3*1000/COS(G3*3.14/180)+F3*1000</f>
        <v>929.09166579633029</v>
      </c>
      <c r="O3" s="19">
        <f>L3*E3*1000/COS(G3*3.14/180)-J3*E3*L2*1000/COS(3.14*G2/180)</f>
        <v>-85.385089768823633</v>
      </c>
      <c r="P3" s="20">
        <f t="shared" ref="P3:P31" si="3">D3*1000</f>
        <v>625</v>
      </c>
    </row>
    <row r="4" spans="1:16" x14ac:dyDescent="0.25">
      <c r="A4">
        <f>'Airfoil Interpolation'!Y6</f>
        <v>0.86873250000000002</v>
      </c>
      <c r="B4">
        <f>'Airfoil Interpolation'!Z6</f>
        <v>1.5681666666666667E-2</v>
      </c>
      <c r="D4">
        <f t="shared" ref="D4:G19" si="4">D3</f>
        <v>0.625</v>
      </c>
      <c r="E4">
        <f t="shared" si="4"/>
        <v>0.76848958333333339</v>
      </c>
      <c r="F4">
        <f t="shared" si="4"/>
        <v>0.1953125</v>
      </c>
      <c r="G4">
        <f t="shared" si="4"/>
        <v>-6.9346026239861676</v>
      </c>
      <c r="J4">
        <f t="shared" ref="J4:J31" si="5">J3</f>
        <v>0</v>
      </c>
      <c r="K4" s="1">
        <f t="shared" si="0"/>
        <v>0.86427620652336778</v>
      </c>
      <c r="L4" s="1">
        <f t="shared" si="1"/>
        <v>-8.9924800947599526E-2</v>
      </c>
      <c r="N4" s="25">
        <f t="shared" si="2"/>
        <v>864.38936692030529</v>
      </c>
      <c r="O4" s="19">
        <f>L4*E4*1000/COS(G4*3.14/180)-J4*E4*L2*1000/COS(3.14*G2/180)</f>
        <v>-69.615018465541027</v>
      </c>
      <c r="P4" s="20">
        <f t="shared" si="3"/>
        <v>625</v>
      </c>
    </row>
    <row r="5" spans="1:16" x14ac:dyDescent="0.25">
      <c r="A5">
        <f>'Airfoil Interpolation'!Y7</f>
        <v>0.78247333333333335</v>
      </c>
      <c r="B5">
        <f>'Airfoil Interpolation'!Z7</f>
        <v>2.6420833333333331E-2</v>
      </c>
      <c r="D5">
        <f t="shared" si="4"/>
        <v>0.625</v>
      </c>
      <c r="E5">
        <f t="shared" si="4"/>
        <v>0.76848958333333339</v>
      </c>
      <c r="F5">
        <f t="shared" si="4"/>
        <v>0.1953125</v>
      </c>
      <c r="G5">
        <f t="shared" si="4"/>
        <v>-6.9346026239861676</v>
      </c>
      <c r="J5">
        <f t="shared" si="5"/>
        <v>0</v>
      </c>
      <c r="K5" s="1">
        <f t="shared" si="0"/>
        <v>0.7799433746432205</v>
      </c>
      <c r="L5" s="1">
        <f t="shared" si="1"/>
        <v>-6.8699637853934986E-2</v>
      </c>
      <c r="N5" s="25">
        <f t="shared" si="2"/>
        <v>799.10335475544287</v>
      </c>
      <c r="O5" s="19">
        <f>L5*E5*1000/COS(G5*3.14/180)-J5*E5*L2*1000/COS(3.14*G2/180)</f>
        <v>-53.183621285572947</v>
      </c>
      <c r="P5" s="20">
        <f t="shared" si="3"/>
        <v>625</v>
      </c>
    </row>
    <row r="6" spans="1:16" x14ac:dyDescent="0.25">
      <c r="A6">
        <f>'Airfoil Interpolation'!Y8</f>
        <v>0.6962058333333333</v>
      </c>
      <c r="B6">
        <f>'Airfoil Interpolation'!Z8</f>
        <v>3.7739166666666664E-2</v>
      </c>
      <c r="D6">
        <f t="shared" si="4"/>
        <v>0.625</v>
      </c>
      <c r="E6">
        <f t="shared" si="4"/>
        <v>0.76848958333333339</v>
      </c>
      <c r="F6">
        <f t="shared" si="4"/>
        <v>0.1953125</v>
      </c>
      <c r="G6">
        <f t="shared" si="4"/>
        <v>-6.9346026239861676</v>
      </c>
      <c r="J6">
        <f t="shared" si="5"/>
        <v>0</v>
      </c>
      <c r="K6" s="1">
        <f t="shared" si="0"/>
        <v>0.69567216153545619</v>
      </c>
      <c r="L6" s="1">
        <f t="shared" si="1"/>
        <v>-4.6894295061517627E-2</v>
      </c>
      <c r="N6" s="25">
        <f t="shared" si="2"/>
        <v>733.86504458082186</v>
      </c>
      <c r="O6" s="19">
        <f>L6*E6*1000/COS(G6*3.14/180)-J6*E6*L2*1000/COS(3.14*G2/180)</f>
        <v>-36.303079709215901</v>
      </c>
      <c r="P6" s="20">
        <f t="shared" si="3"/>
        <v>625</v>
      </c>
    </row>
    <row r="7" spans="1:16" x14ac:dyDescent="0.25">
      <c r="A7">
        <f>'Airfoil Interpolation'!Y9</f>
        <v>0.61005583333333335</v>
      </c>
      <c r="B7">
        <f>'Airfoil Interpolation'!Z9</f>
        <v>4.9661666666666666E-2</v>
      </c>
      <c r="D7">
        <f t="shared" si="4"/>
        <v>0.625</v>
      </c>
      <c r="E7">
        <f t="shared" si="4"/>
        <v>0.76848958333333339</v>
      </c>
      <c r="F7">
        <f t="shared" si="4"/>
        <v>0.1953125</v>
      </c>
      <c r="G7">
        <f t="shared" si="4"/>
        <v>-6.9346026239861676</v>
      </c>
      <c r="J7">
        <f t="shared" si="5"/>
        <v>0</v>
      </c>
      <c r="K7" s="1">
        <f t="shared" si="0"/>
        <v>0.61159049783161923</v>
      </c>
      <c r="L7" s="1">
        <f t="shared" si="1"/>
        <v>-2.4499069354848399E-2</v>
      </c>
      <c r="N7" s="25">
        <f t="shared" si="2"/>
        <v>668.77347351616243</v>
      </c>
      <c r="O7" s="19">
        <f>L7*E7*1000/COS(G7*3.14/180)-J7*E7*L2*1000/COS(3.14*G2/180)</f>
        <v>-18.965882020913927</v>
      </c>
      <c r="P7" s="20">
        <f t="shared" si="3"/>
        <v>625</v>
      </c>
    </row>
    <row r="8" spans="1:16" x14ac:dyDescent="0.25">
      <c r="A8">
        <f>'Airfoil Interpolation'!Y10</f>
        <v>0.52404583333333332</v>
      </c>
      <c r="B8">
        <f>'Airfoil Interpolation'!Z10</f>
        <v>6.1243333333333337E-2</v>
      </c>
      <c r="D8">
        <f t="shared" si="4"/>
        <v>0.625</v>
      </c>
      <c r="E8">
        <f t="shared" si="4"/>
        <v>0.76848958333333339</v>
      </c>
      <c r="F8">
        <f t="shared" si="4"/>
        <v>0.1953125</v>
      </c>
      <c r="G8">
        <f t="shared" si="4"/>
        <v>-6.9346026239861676</v>
      </c>
      <c r="J8">
        <f t="shared" si="5"/>
        <v>0</v>
      </c>
      <c r="K8" s="1">
        <f t="shared" si="0"/>
        <v>0.52760668078918815</v>
      </c>
      <c r="L8" s="1">
        <f t="shared" si="1"/>
        <v>-2.4616959205598925E-3</v>
      </c>
      <c r="N8" s="25">
        <f t="shared" si="2"/>
        <v>603.75765015479283</v>
      </c>
      <c r="O8" s="19">
        <f>L8*E8*1000/COS(G8*3.14/180)-J8*E8*L2*1000/COS(3.14*G2/180)</f>
        <v>-1.9057146099904549</v>
      </c>
      <c r="P8" s="20">
        <f t="shared" si="3"/>
        <v>625</v>
      </c>
    </row>
    <row r="9" spans="1:16" x14ac:dyDescent="0.25">
      <c r="A9">
        <f>'Airfoil Interpolation'!Y11</f>
        <v>0.43835249999999998</v>
      </c>
      <c r="B9">
        <f>'Airfoil Interpolation'!Z11</f>
        <v>7.0565000000000003E-2</v>
      </c>
      <c r="D9">
        <f t="shared" si="4"/>
        <v>0.625</v>
      </c>
      <c r="E9">
        <f t="shared" si="4"/>
        <v>0.76848958333333339</v>
      </c>
      <c r="F9">
        <f t="shared" si="4"/>
        <v>0.1953125</v>
      </c>
      <c r="G9">
        <f t="shared" si="4"/>
        <v>-6.9346026239861676</v>
      </c>
      <c r="J9">
        <f t="shared" si="5"/>
        <v>0</v>
      </c>
      <c r="K9" s="1">
        <f t="shared" si="0"/>
        <v>0.44366448967047861</v>
      </c>
      <c r="L9" s="1">
        <f t="shared" si="1"/>
        <v>1.727718229445472E-2</v>
      </c>
      <c r="N9" s="25">
        <f t="shared" si="2"/>
        <v>538.77405137905453</v>
      </c>
      <c r="O9" s="19">
        <f>L9*E9*1000/COS(G9*3.14/180)-J9*E9*L2*1000/COS(3.14*G2/180)</f>
        <v>13.375079530749744</v>
      </c>
      <c r="P9" s="20">
        <f t="shared" si="3"/>
        <v>625</v>
      </c>
    </row>
    <row r="10" spans="1:16" x14ac:dyDescent="0.25">
      <c r="A10">
        <f>'Airfoil Interpolation'!Y12</f>
        <v>0.35281416666666665</v>
      </c>
      <c r="B10">
        <f>'Airfoil Interpolation'!Z12</f>
        <v>7.6670000000000002E-2</v>
      </c>
      <c r="D10">
        <f t="shared" si="4"/>
        <v>0.625</v>
      </c>
      <c r="E10">
        <f t="shared" si="4"/>
        <v>0.76848958333333339</v>
      </c>
      <c r="F10">
        <f t="shared" si="4"/>
        <v>0.1953125</v>
      </c>
      <c r="G10">
        <f t="shared" si="4"/>
        <v>-6.9346026239861676</v>
      </c>
      <c r="J10">
        <f t="shared" si="5"/>
        <v>0</v>
      </c>
      <c r="K10" s="1">
        <f t="shared" si="0"/>
        <v>0.35948799307351398</v>
      </c>
      <c r="L10" s="1">
        <f t="shared" si="1"/>
        <v>3.3780551446000201E-2</v>
      </c>
      <c r="N10" s="25">
        <f t="shared" si="2"/>
        <v>473.60906571089697</v>
      </c>
      <c r="O10" s="19">
        <f>L10*E10*1000/COS(G10*3.14/180)-J10*E10*L2*1000/COS(3.14*G2/180)</f>
        <v>26.151113907494697</v>
      </c>
      <c r="P10" s="20">
        <f t="shared" si="3"/>
        <v>625</v>
      </c>
    </row>
    <row r="11" spans="1:16" x14ac:dyDescent="0.25">
      <c r="A11">
        <f>'Airfoil Interpolation'!Y13</f>
        <v>0.26802333333333334</v>
      </c>
      <c r="B11">
        <f>'Airfoil Interpolation'!Z13</f>
        <v>7.774416666666667E-2</v>
      </c>
      <c r="D11">
        <f t="shared" si="4"/>
        <v>0.625</v>
      </c>
      <c r="E11">
        <f t="shared" si="4"/>
        <v>0.76848958333333339</v>
      </c>
      <c r="F11">
        <f t="shared" si="4"/>
        <v>0.1953125</v>
      </c>
      <c r="G11">
        <f t="shared" si="4"/>
        <v>-6.9346026239861676</v>
      </c>
      <c r="J11">
        <f t="shared" si="5"/>
        <v>0</v>
      </c>
      <c r="K11" s="1">
        <f t="shared" si="0"/>
        <v>0.27544643561297066</v>
      </c>
      <c r="L11" s="1">
        <f t="shared" si="1"/>
        <v>4.5162218286084223E-2</v>
      </c>
      <c r="N11" s="25">
        <f t="shared" si="2"/>
        <v>408.54854277576413</v>
      </c>
      <c r="O11" s="19">
        <f>L11*E11*1000/COS(G11*3.14/180)-J11*E11*L2*1000/COS(3.14*G2/180)</f>
        <v>34.96219760066618</v>
      </c>
      <c r="P11" s="20">
        <f t="shared" si="3"/>
        <v>625</v>
      </c>
    </row>
    <row r="12" spans="1:16" x14ac:dyDescent="0.25">
      <c r="A12">
        <f>'Airfoil Interpolation'!Y14</f>
        <v>0.18410833333333332</v>
      </c>
      <c r="B12">
        <f>'Airfoil Interpolation'!Z14</f>
        <v>7.324E-2</v>
      </c>
      <c r="D12">
        <f t="shared" si="4"/>
        <v>0.625</v>
      </c>
      <c r="E12">
        <f t="shared" si="4"/>
        <v>0.76848958333333339</v>
      </c>
      <c r="F12">
        <f t="shared" si="4"/>
        <v>0.1953125</v>
      </c>
      <c r="G12">
        <f t="shared" si="4"/>
        <v>-6.9346026239861676</v>
      </c>
      <c r="J12">
        <f t="shared" si="5"/>
        <v>0</v>
      </c>
      <c r="K12" s="1">
        <f t="shared" si="0"/>
        <v>0.1916011429476896</v>
      </c>
      <c r="L12" s="1">
        <f t="shared" si="1"/>
        <v>5.085908212058006E-2</v>
      </c>
      <c r="N12" s="25">
        <f t="shared" si="2"/>
        <v>343.63995765091664</v>
      </c>
      <c r="O12" s="19">
        <f>L12*E12*1000/COS(G12*3.14/180)-J12*E12*L2*1000/COS(3.14*G2/180)</f>
        <v>39.3724078747506</v>
      </c>
      <c r="P12" s="20">
        <f t="shared" si="3"/>
        <v>625</v>
      </c>
    </row>
    <row r="13" spans="1:16" x14ac:dyDescent="0.25">
      <c r="A13">
        <f>'Airfoil Interpolation'!Y15</f>
        <v>0.10430666666666667</v>
      </c>
      <c r="B13">
        <f>'Airfoil Interpolation'!Z15</f>
        <v>6.007916666666667E-2</v>
      </c>
      <c r="D13">
        <f t="shared" si="4"/>
        <v>0.625</v>
      </c>
      <c r="E13">
        <f t="shared" si="4"/>
        <v>0.76848958333333339</v>
      </c>
      <c r="F13">
        <f t="shared" si="4"/>
        <v>0.1953125</v>
      </c>
      <c r="G13">
        <f t="shared" si="4"/>
        <v>-6.9346026239861676</v>
      </c>
      <c r="J13">
        <f t="shared" si="5"/>
        <v>0</v>
      </c>
      <c r="K13" s="1">
        <f t="shared" si="0"/>
        <v>0.11079447616839852</v>
      </c>
      <c r="L13" s="1">
        <f t="shared" si="1"/>
        <v>4.7399246650683166E-2</v>
      </c>
      <c r="N13" s="25">
        <f t="shared" si="2"/>
        <v>281.08371576101638</v>
      </c>
      <c r="O13" s="19">
        <f>L13*E13*1000/COS(G13*3.14/180)-J13*E13*L2*1000/COS(3.14*G2/180)</f>
        <v>36.693986487251991</v>
      </c>
      <c r="P13" s="20">
        <f t="shared" si="3"/>
        <v>625</v>
      </c>
    </row>
    <row r="14" spans="1:16" x14ac:dyDescent="0.25">
      <c r="A14">
        <f>'Airfoil Interpolation'!Y16</f>
        <v>3.9877499999999996E-2</v>
      </c>
      <c r="B14">
        <f>'Airfoil Interpolation'!Z16</f>
        <v>3.8715833333333338E-2</v>
      </c>
      <c r="D14">
        <f t="shared" si="4"/>
        <v>0.625</v>
      </c>
      <c r="E14">
        <f t="shared" si="4"/>
        <v>0.76848958333333339</v>
      </c>
      <c r="F14">
        <f t="shared" si="4"/>
        <v>0.1953125</v>
      </c>
      <c r="G14">
        <f t="shared" si="4"/>
        <v>-6.9346026239861676</v>
      </c>
      <c r="J14">
        <f t="shared" si="5"/>
        <v>0</v>
      </c>
      <c r="K14" s="1">
        <f t="shared" si="0"/>
        <v>4.4258126870392898E-2</v>
      </c>
      <c r="L14" s="1">
        <f t="shared" si="1"/>
        <v>3.3868170891456349E-2</v>
      </c>
      <c r="N14" s="25">
        <f t="shared" si="2"/>
        <v>229.57479790742622</v>
      </c>
      <c r="O14" s="19">
        <f>L14*E14*1000/COS(G14*3.14/180)-J14*E14*L2*1000/COS(3.14*G2/180)</f>
        <v>26.218944241830659</v>
      </c>
      <c r="P14" s="20">
        <f t="shared" si="3"/>
        <v>625</v>
      </c>
    </row>
    <row r="15" spans="1:16" x14ac:dyDescent="0.25">
      <c r="A15">
        <f>'Airfoil Interpolation'!Y17</f>
        <v>1.0939166666666666E-2</v>
      </c>
      <c r="B15">
        <f>'Airfoil Interpolation'!Z17</f>
        <v>1.9499166666666668E-2</v>
      </c>
      <c r="D15">
        <f t="shared" si="4"/>
        <v>0.625</v>
      </c>
      <c r="E15">
        <f t="shared" si="4"/>
        <v>0.76848958333333339</v>
      </c>
      <c r="F15">
        <f t="shared" si="4"/>
        <v>0.1953125</v>
      </c>
      <c r="G15">
        <f t="shared" si="4"/>
        <v>-6.9346026239861676</v>
      </c>
      <c r="J15">
        <f t="shared" si="5"/>
        <v>0</v>
      </c>
      <c r="K15" s="1">
        <f t="shared" si="0"/>
        <v>1.3212294349580565E-2</v>
      </c>
      <c r="L15" s="1">
        <f t="shared" si="1"/>
        <v>1.8169359447171147E-2</v>
      </c>
      <c r="N15" s="25">
        <f t="shared" si="2"/>
        <v>205.54075856077435</v>
      </c>
      <c r="O15" s="19">
        <f>L15*E15*1000/COS(G15*3.14/180)-J15*E15*L2*1000/COS(3.14*G2/180)</f>
        <v>14.065755832575308</v>
      </c>
      <c r="P15" s="20">
        <f t="shared" si="3"/>
        <v>625</v>
      </c>
    </row>
    <row r="16" spans="1:16" x14ac:dyDescent="0.25">
      <c r="A16">
        <f>'Airfoil Interpolation'!Y18</f>
        <v>1.225E-3</v>
      </c>
      <c r="B16">
        <f>'Airfoil Interpolation'!Z18</f>
        <v>7.011666666666666E-3</v>
      </c>
      <c r="D16">
        <f t="shared" si="4"/>
        <v>0.625</v>
      </c>
      <c r="E16">
        <f t="shared" si="4"/>
        <v>0.76848958333333339</v>
      </c>
      <c r="F16">
        <f t="shared" si="4"/>
        <v>0.1953125</v>
      </c>
      <c r="G16">
        <f t="shared" si="4"/>
        <v>-6.9346026239861676</v>
      </c>
      <c r="J16">
        <f t="shared" si="5"/>
        <v>0</v>
      </c>
      <c r="K16" s="1">
        <f t="shared" si="0"/>
        <v>2.062183839314221E-3</v>
      </c>
      <c r="L16" s="1">
        <f t="shared" si="1"/>
        <v>6.8627509500018974E-3</v>
      </c>
      <c r="N16" s="25">
        <f t="shared" si="2"/>
        <v>196.90893351489711</v>
      </c>
      <c r="O16" s="19">
        <f>L16*E16*1000/COS(G16*3.14/180)-J16*E16*L2*1000/COS(3.14*G2/180)</f>
        <v>5.3127783333897325</v>
      </c>
      <c r="P16" s="20">
        <f t="shared" si="3"/>
        <v>625</v>
      </c>
    </row>
    <row r="17" spans="1:16" x14ac:dyDescent="0.25">
      <c r="A17">
        <f>'Airfoil Interpolation'!Y19</f>
        <v>6.5333333333333324E-4</v>
      </c>
      <c r="B17">
        <f>'Airfoil Interpolation'!Z19</f>
        <v>-2.9399999999999999E-3</v>
      </c>
      <c r="D17">
        <f t="shared" si="4"/>
        <v>0.625</v>
      </c>
      <c r="E17">
        <f t="shared" si="4"/>
        <v>0.76848958333333339</v>
      </c>
      <c r="F17">
        <f t="shared" si="4"/>
        <v>0.1953125</v>
      </c>
      <c r="G17">
        <f t="shared" si="4"/>
        <v>-6.9346026239861676</v>
      </c>
      <c r="J17">
        <f t="shared" si="5"/>
        <v>0</v>
      </c>
      <c r="K17" s="1">
        <f t="shared" si="0"/>
        <v>2.9377291970561958E-4</v>
      </c>
      <c r="L17" s="1">
        <f t="shared" si="1"/>
        <v>-3.0194217155545431E-3</v>
      </c>
      <c r="N17" s="25">
        <f t="shared" si="2"/>
        <v>195.53992343618754</v>
      </c>
      <c r="O17" s="19">
        <f>L17*E17*1000/COS(G17*3.14/180)-J17*E17*L2*1000/COS(3.14*G2/180)</f>
        <v>-2.3374763832512673</v>
      </c>
      <c r="P17" s="20">
        <f t="shared" si="3"/>
        <v>625</v>
      </c>
    </row>
    <row r="18" spans="1:16" x14ac:dyDescent="0.25">
      <c r="A18">
        <f>'Airfoil Interpolation'!Y20</f>
        <v>8.955833333333333E-3</v>
      </c>
      <c r="B18">
        <f>'Airfoil Interpolation'!Z20</f>
        <v>-1.36075E-2</v>
      </c>
      <c r="D18">
        <f t="shared" si="4"/>
        <v>0.625</v>
      </c>
      <c r="E18">
        <f t="shared" si="4"/>
        <v>0.76848958333333339</v>
      </c>
      <c r="F18">
        <f t="shared" si="4"/>
        <v>0.1953125</v>
      </c>
      <c r="G18">
        <f t="shared" si="4"/>
        <v>-6.9346026239861676</v>
      </c>
      <c r="J18">
        <f t="shared" si="5"/>
        <v>0</v>
      </c>
      <c r="K18" s="1">
        <f t="shared" si="0"/>
        <v>7.2482928524723158E-3</v>
      </c>
      <c r="L18" s="1">
        <f t="shared" si="1"/>
        <v>-1.469620558299066E-2</v>
      </c>
      <c r="N18" s="25">
        <f t="shared" si="2"/>
        <v>200.92374445593759</v>
      </c>
      <c r="O18" s="19">
        <f>L18*E18*1000/COS(G18*3.14/180)-J18*E18*L2*1000/COS(3.14*G2/180)</f>
        <v>-11.377024049566074</v>
      </c>
      <c r="P18" s="20">
        <f t="shared" si="3"/>
        <v>625</v>
      </c>
    </row>
    <row r="19" spans="1:16" x14ac:dyDescent="0.25">
      <c r="A19">
        <f>'Airfoil Interpolation'!Y21</f>
        <v>3.4213333333333332E-2</v>
      </c>
      <c r="B19">
        <f>'Airfoil Interpolation'!Z21</f>
        <v>-2.5736666666666668E-2</v>
      </c>
      <c r="D19">
        <f t="shared" si="4"/>
        <v>0.625</v>
      </c>
      <c r="E19">
        <f t="shared" si="4"/>
        <v>0.76848958333333339</v>
      </c>
      <c r="F19">
        <f t="shared" si="4"/>
        <v>0.1953125</v>
      </c>
      <c r="G19">
        <f t="shared" si="4"/>
        <v>-6.9346026239861676</v>
      </c>
      <c r="J19">
        <f t="shared" si="5"/>
        <v>0</v>
      </c>
      <c r="K19" s="1">
        <f t="shared" si="0"/>
        <v>3.0857518562490135E-2</v>
      </c>
      <c r="L19" s="1">
        <f t="shared" si="1"/>
        <v>-2.9895771199584177E-2</v>
      </c>
      <c r="N19" s="25">
        <f t="shared" si="2"/>
        <v>219.20075665324833</v>
      </c>
      <c r="O19" s="19">
        <f>L19*E19*1000/COS(G19*3.14/180)-J19*E19*L2*1000/COS(3.14*G2/180)</f>
        <v>-23.143722779140585</v>
      </c>
      <c r="P19" s="20">
        <f t="shared" si="3"/>
        <v>625</v>
      </c>
    </row>
    <row r="20" spans="1:16" x14ac:dyDescent="0.25">
      <c r="A20">
        <f>'Airfoil Interpolation'!Y22</f>
        <v>9.5731666666666659E-2</v>
      </c>
      <c r="B20">
        <f>'Airfoil Interpolation'!Z22</f>
        <v>-4.052583333333333E-2</v>
      </c>
      <c r="D20">
        <f t="shared" ref="D20:G31" si="6">D19</f>
        <v>0.625</v>
      </c>
      <c r="E20">
        <f t="shared" si="6"/>
        <v>0.76848958333333339</v>
      </c>
      <c r="F20">
        <f t="shared" si="6"/>
        <v>0.1953125</v>
      </c>
      <c r="G20">
        <f t="shared" si="6"/>
        <v>-6.9346026239861676</v>
      </c>
      <c r="J20">
        <f t="shared" si="5"/>
        <v>0</v>
      </c>
      <c r="K20" s="1">
        <f t="shared" si="0"/>
        <v>9.0141587172768683E-2</v>
      </c>
      <c r="L20" s="1">
        <f t="shared" si="1"/>
        <v>-5.2163343332663453E-2</v>
      </c>
      <c r="N20" s="25">
        <f t="shared" si="2"/>
        <v>265.09534288004289</v>
      </c>
      <c r="O20" s="19">
        <f>L20*E20*1000/COS(G20*3.14/180)-J20*E20*L2*1000/COS(3.14*G2/180)</f>
        <v>-40.382097831317566</v>
      </c>
      <c r="P20" s="20">
        <f t="shared" si="3"/>
        <v>625</v>
      </c>
    </row>
    <row r="21" spans="1:16" x14ac:dyDescent="0.25">
      <c r="A21">
        <f>'Airfoil Interpolation'!Y23</f>
        <v>0.17730083333333332</v>
      </c>
      <c r="B21">
        <f>'Airfoil Interpolation'!Z23</f>
        <v>-4.8174166666666664E-2</v>
      </c>
      <c r="D21">
        <f t="shared" si="6"/>
        <v>0.625</v>
      </c>
      <c r="E21">
        <f t="shared" si="6"/>
        <v>0.76848958333333339</v>
      </c>
      <c r="F21">
        <f t="shared" si="6"/>
        <v>0.1953125</v>
      </c>
      <c r="G21">
        <f t="shared" si="6"/>
        <v>-6.9346026239861676</v>
      </c>
      <c r="J21">
        <f t="shared" si="5"/>
        <v>0</v>
      </c>
      <c r="K21" s="1">
        <f t="shared" si="0"/>
        <v>0.17019168125668119</v>
      </c>
      <c r="L21" s="1">
        <f t="shared" si="1"/>
        <v>-6.9727538634906674E-2</v>
      </c>
      <c r="N21" s="25">
        <f t="shared" si="2"/>
        <v>327.06588625736049</v>
      </c>
      <c r="O21" s="19">
        <f>L21*E21*1000/COS(G21*3.14/180)-J21*E21*L2*1000/COS(3.14*G2/180)</f>
        <v>-53.979367632454341</v>
      </c>
      <c r="P21" s="20">
        <f t="shared" si="3"/>
        <v>625</v>
      </c>
    </row>
    <row r="22" spans="1:16" x14ac:dyDescent="0.25">
      <c r="A22">
        <f>'Airfoil Interpolation'!Y24</f>
        <v>0.26238833333333333</v>
      </c>
      <c r="B22">
        <f>'Airfoil Interpolation'!Z24</f>
        <v>-5.0788333333333338E-2</v>
      </c>
      <c r="D22">
        <f t="shared" si="6"/>
        <v>0.625</v>
      </c>
      <c r="E22">
        <f t="shared" si="6"/>
        <v>0.76848958333333339</v>
      </c>
      <c r="F22">
        <f t="shared" si="6"/>
        <v>0.1953125</v>
      </c>
      <c r="G22">
        <f t="shared" si="6"/>
        <v>-6.9346026239861676</v>
      </c>
      <c r="J22">
        <f t="shared" si="5"/>
        <v>0</v>
      </c>
      <c r="K22" s="1">
        <f t="shared" si="0"/>
        <v>0.25434189713425853</v>
      </c>
      <c r="L22" s="1">
        <f t="shared" si="1"/>
        <v>-8.2685269417257845E-2</v>
      </c>
      <c r="N22" s="25">
        <f t="shared" si="2"/>
        <v>392.21052678439838</v>
      </c>
      <c r="O22" s="19">
        <f>L22*E22*1000/COS(G22*3.14/180)-J22*E22*L2*1000/COS(3.14*G2/180)</f>
        <v>-64.01055656119631</v>
      </c>
      <c r="P22" s="20">
        <f t="shared" si="3"/>
        <v>625</v>
      </c>
    </row>
    <row r="23" spans="1:16" x14ac:dyDescent="0.25">
      <c r="A23">
        <f>'Airfoil Interpolation'!Y25</f>
        <v>0.34833999999999998</v>
      </c>
      <c r="B23">
        <f>'Airfoil Interpolation'!Z25</f>
        <v>-5.0641666666666668E-2</v>
      </c>
      <c r="D23">
        <f t="shared" si="6"/>
        <v>0.625</v>
      </c>
      <c r="E23">
        <f t="shared" si="6"/>
        <v>0.76848958333333339</v>
      </c>
      <c r="F23">
        <f t="shared" si="6"/>
        <v>0.1953125</v>
      </c>
      <c r="G23">
        <f t="shared" si="6"/>
        <v>-6.9346026239861676</v>
      </c>
      <c r="J23">
        <f t="shared" si="5"/>
        <v>0</v>
      </c>
      <c r="K23" s="1">
        <f t="shared" si="0"/>
        <v>0.33968312920126298</v>
      </c>
      <c r="L23" s="1">
        <f t="shared" si="1"/>
        <v>-9.2987218293609925E-2</v>
      </c>
      <c r="N23" s="25">
        <f t="shared" si="2"/>
        <v>458.27718896893253</v>
      </c>
      <c r="O23" s="19">
        <f>L23*E23*1000/COS(G23*3.14/180)-J23*E23*L2*1000/COS(3.14*G2/180)</f>
        <v>-71.985779788837547</v>
      </c>
      <c r="P23" s="20">
        <f t="shared" si="3"/>
        <v>625</v>
      </c>
    </row>
    <row r="24" spans="1:16" x14ac:dyDescent="0.25">
      <c r="A24">
        <f>'Airfoil Interpolation'!Y26</f>
        <v>0.434695</v>
      </c>
      <c r="B24">
        <f>'Airfoil Interpolation'!Z26</f>
        <v>-4.8176666666666666E-2</v>
      </c>
      <c r="D24">
        <f t="shared" si="6"/>
        <v>0.625</v>
      </c>
      <c r="E24">
        <f t="shared" si="6"/>
        <v>0.76848958333333339</v>
      </c>
      <c r="F24">
        <f t="shared" si="6"/>
        <v>0.1953125</v>
      </c>
      <c r="G24">
        <f t="shared" si="6"/>
        <v>-6.9346026239861676</v>
      </c>
      <c r="J24">
        <f t="shared" si="5"/>
        <v>0</v>
      </c>
      <c r="K24" s="1">
        <f t="shared" si="0"/>
        <v>0.42570451299588968</v>
      </c>
      <c r="L24" s="1">
        <f t="shared" si="1"/>
        <v>-0.10101986458959857</v>
      </c>
      <c r="N24" s="25">
        <f t="shared" si="2"/>
        <v>524.87038860007601</v>
      </c>
      <c r="O24" s="19">
        <f>L24*E24*1000/COS(G24*3.14/180)-J24*E24*L2*1000/COS(3.14*G2/180)</f>
        <v>-78.204229141294363</v>
      </c>
      <c r="P24" s="20">
        <f t="shared" si="3"/>
        <v>625</v>
      </c>
    </row>
    <row r="25" spans="1:16" x14ac:dyDescent="0.25">
      <c r="A25">
        <f>'Airfoil Interpolation'!Y27</f>
        <v>0.52144416666666671</v>
      </c>
      <c r="B25">
        <f>'Airfoil Interpolation'!Z27</f>
        <v>-4.39125E-2</v>
      </c>
      <c r="D25">
        <f t="shared" si="6"/>
        <v>0.625</v>
      </c>
      <c r="E25">
        <f t="shared" si="6"/>
        <v>0.76848958333333339</v>
      </c>
      <c r="F25">
        <f t="shared" si="6"/>
        <v>0.1953125</v>
      </c>
      <c r="G25">
        <f t="shared" si="6"/>
        <v>-6.9346026239861676</v>
      </c>
      <c r="J25">
        <f t="shared" si="5"/>
        <v>0</v>
      </c>
      <c r="K25" s="1">
        <f t="shared" si="0"/>
        <v>0.51233429816332687</v>
      </c>
      <c r="L25" s="1">
        <f t="shared" si="1"/>
        <v>-0.10730126063659566</v>
      </c>
      <c r="N25" s="25">
        <f t="shared" si="2"/>
        <v>591.93458035304059</v>
      </c>
      <c r="O25" s="19">
        <f>L25*E25*1000/COS(G25*3.14/180)-J25*E25*L2*1000/COS(3.14*G2/180)</f>
        <v>-83.066953297402165</v>
      </c>
      <c r="P25" s="20">
        <f t="shared" si="3"/>
        <v>625</v>
      </c>
    </row>
    <row r="26" spans="1:16" x14ac:dyDescent="0.25">
      <c r="A26">
        <f>'Airfoil Interpolation'!Y28</f>
        <v>0.60830000000000006</v>
      </c>
      <c r="B26">
        <f>'Airfoil Interpolation'!Z28</f>
        <v>-3.8269166666666667E-2</v>
      </c>
      <c r="D26">
        <f t="shared" si="6"/>
        <v>0.625</v>
      </c>
      <c r="E26">
        <f t="shared" si="6"/>
        <v>0.76848958333333339</v>
      </c>
      <c r="F26">
        <f t="shared" si="6"/>
        <v>0.1953125</v>
      </c>
      <c r="G26">
        <f t="shared" si="6"/>
        <v>-6.9346026239861676</v>
      </c>
      <c r="J26">
        <f t="shared" si="5"/>
        <v>0</v>
      </c>
      <c r="K26" s="1">
        <f t="shared" si="0"/>
        <v>0.59923640205527018</v>
      </c>
      <c r="L26" s="1">
        <f t="shared" si="1"/>
        <v>-0.1122164568276289</v>
      </c>
      <c r="N26" s="25">
        <f t="shared" si="2"/>
        <v>659.20958684048605</v>
      </c>
      <c r="O26" s="19">
        <f>L26*E26*1000/COS(G26*3.14/180)-J26*E26*L2*1000/COS(3.14*G2/180)</f>
        <v>-86.872037879128669</v>
      </c>
      <c r="P26" s="20">
        <f t="shared" si="3"/>
        <v>625</v>
      </c>
    </row>
    <row r="27" spans="1:16" x14ac:dyDescent="0.25">
      <c r="A27">
        <f>'Airfoil Interpolation'!Y29</f>
        <v>0.69513250000000004</v>
      </c>
      <c r="B27">
        <f>'Airfoil Interpolation'!Z29</f>
        <v>-3.1392500000000004E-2</v>
      </c>
      <c r="D27">
        <f t="shared" si="6"/>
        <v>0.625</v>
      </c>
      <c r="E27">
        <f t="shared" si="6"/>
        <v>0.76848958333333339</v>
      </c>
      <c r="F27">
        <f t="shared" si="6"/>
        <v>0.1953125</v>
      </c>
      <c r="G27">
        <f t="shared" si="6"/>
        <v>-6.9346026239861676</v>
      </c>
      <c r="J27">
        <f t="shared" si="5"/>
        <v>0</v>
      </c>
      <c r="K27" s="1">
        <f t="shared" si="0"/>
        <v>0.68626417620497349</v>
      </c>
      <c r="L27" s="1">
        <f t="shared" si="1"/>
        <v>-0.11589548319548755</v>
      </c>
      <c r="N27" s="25">
        <f t="shared" si="2"/>
        <v>726.58188058597761</v>
      </c>
      <c r="O27" s="19">
        <f>L27*E27*1000/COS(G27*3.14/180)-J27*E27*L2*1000/COS(3.14*G2/180)</f>
        <v>-89.720145251453403</v>
      </c>
      <c r="P27" s="20">
        <f t="shared" si="3"/>
        <v>625</v>
      </c>
    </row>
    <row r="28" spans="1:16" x14ac:dyDescent="0.25">
      <c r="A28">
        <f>'Airfoil Interpolation'!Y30</f>
        <v>0.78189583333333335</v>
      </c>
      <c r="B28">
        <f>'Airfoil Interpolation'!Z30</f>
        <v>-2.3609166666666667E-2</v>
      </c>
      <c r="D28">
        <f t="shared" si="6"/>
        <v>0.625</v>
      </c>
      <c r="E28">
        <f t="shared" si="6"/>
        <v>0.76848958333333339</v>
      </c>
      <c r="F28">
        <f t="shared" si="6"/>
        <v>0.1953125</v>
      </c>
      <c r="G28">
        <f t="shared" si="6"/>
        <v>-6.9346026239861676</v>
      </c>
      <c r="J28">
        <f t="shared" si="5"/>
        <v>0</v>
      </c>
      <c r="K28" s="1">
        <f t="shared" si="0"/>
        <v>0.77333270157716805</v>
      </c>
      <c r="L28" s="1">
        <f t="shared" si="1"/>
        <v>-0.11865943473036444</v>
      </c>
      <c r="N28" s="25">
        <f t="shared" si="2"/>
        <v>793.98572176973221</v>
      </c>
      <c r="O28" s="19">
        <f>L28*E28*1000/COS(G28*3.14/180)-J28*E28*L2*1000/COS(3.14*G2/180)</f>
        <v>-91.859850150555005</v>
      </c>
      <c r="P28" s="20">
        <f t="shared" si="3"/>
        <v>625</v>
      </c>
    </row>
    <row r="29" spans="1:16" x14ac:dyDescent="0.25">
      <c r="A29">
        <f>'Airfoil Interpolation'!Y31</f>
        <v>0.86858083333333325</v>
      </c>
      <c r="B29">
        <f>'Airfoil Interpolation'!Z31</f>
        <v>-1.4829999999999999E-2</v>
      </c>
      <c r="D29">
        <f t="shared" si="6"/>
        <v>0.625</v>
      </c>
      <c r="E29">
        <f t="shared" si="6"/>
        <v>0.76848958333333339</v>
      </c>
      <c r="F29">
        <f t="shared" si="6"/>
        <v>0.1953125</v>
      </c>
      <c r="G29">
        <f t="shared" si="6"/>
        <v>-6.9346026239861676</v>
      </c>
      <c r="J29">
        <f t="shared" si="5"/>
        <v>0</v>
      </c>
      <c r="K29" s="1">
        <f t="shared" si="0"/>
        <v>0.86044363872387852</v>
      </c>
      <c r="L29" s="1">
        <f t="shared" si="1"/>
        <v>-0.12041803043029814</v>
      </c>
      <c r="N29" s="25">
        <f t="shared" si="2"/>
        <v>861.42239590318457</v>
      </c>
      <c r="O29" s="19">
        <f>L29*E29*1000/COS(G29*3.14/180)-J29*E29*L2*1000/COS(3.14*G2/180)</f>
        <v>-93.22126180600749</v>
      </c>
      <c r="P29" s="20">
        <f t="shared" si="3"/>
        <v>625</v>
      </c>
    </row>
    <row r="30" spans="1:16" x14ac:dyDescent="0.25">
      <c r="A30">
        <f>'Airfoil Interpolation'!Y32</f>
        <v>0.9541466666666667</v>
      </c>
      <c r="B30">
        <f>'Airfoil Interpolation'!Z32</f>
        <v>-5.4600000000000004E-3</v>
      </c>
      <c r="D30">
        <f t="shared" si="6"/>
        <v>0.625</v>
      </c>
      <c r="E30">
        <f t="shared" si="6"/>
        <v>0.76848958333333339</v>
      </c>
      <c r="F30">
        <f t="shared" si="6"/>
        <v>0.1953125</v>
      </c>
      <c r="G30">
        <f t="shared" si="6"/>
        <v>-6.9346026239861676</v>
      </c>
      <c r="J30">
        <f t="shared" si="5"/>
        <v>0</v>
      </c>
      <c r="K30" s="1">
        <f t="shared" si="0"/>
        <v>0.94651488714566745</v>
      </c>
      <c r="L30" s="1">
        <f t="shared" si="1"/>
        <v>-0.12144974258772794</v>
      </c>
      <c r="N30" s="25">
        <f t="shared" si="2"/>
        <v>928.0541980878404</v>
      </c>
      <c r="O30" s="19">
        <f>L30*E30*1000/COS(G30*3.14/180)-J30*E30*L2*1000/COS(3.14*G2/180)</f>
        <v>-94.019958718691797</v>
      </c>
      <c r="P30" s="20">
        <f t="shared" si="3"/>
        <v>625</v>
      </c>
    </row>
    <row r="31" spans="1:16" ht="15.75" thickBot="1" x14ac:dyDescent="0.3">
      <c r="A31">
        <f>'Airfoil Interpolation'!Y33</f>
        <v>1</v>
      </c>
      <c r="B31">
        <f>'Airfoil Interpolation'!Z33</f>
        <v>-3.5583333333333322E-4</v>
      </c>
      <c r="D31">
        <f t="shared" si="6"/>
        <v>0.625</v>
      </c>
      <c r="E31">
        <f t="shared" si="6"/>
        <v>0.76848958333333339</v>
      </c>
      <c r="F31">
        <f t="shared" si="6"/>
        <v>0.1953125</v>
      </c>
      <c r="G31">
        <f t="shared" si="6"/>
        <v>-6.9346026239861676</v>
      </c>
      <c r="J31">
        <f t="shared" si="5"/>
        <v>0</v>
      </c>
      <c r="K31" s="1">
        <f t="shared" si="0"/>
        <v>0.99264907258966317</v>
      </c>
      <c r="L31" s="1">
        <f t="shared" si="1"/>
        <v>-0.12191968367191992</v>
      </c>
      <c r="N31" s="26">
        <f t="shared" si="2"/>
        <v>963.76884118666601</v>
      </c>
      <c r="O31" s="27">
        <f>L31*E31*1000/COS(G31*3.14/180)-J31*E31*L2*1000/COS(3.14*G2/180)</f>
        <v>-94.383762217937843</v>
      </c>
      <c r="P31" s="28">
        <f t="shared" si="3"/>
        <v>625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activeCell="U31" sqref="U31"/>
    </sheetView>
  </sheetViews>
  <sheetFormatPr defaultRowHeight="15" x14ac:dyDescent="0.25"/>
  <sheetData>
    <row r="1" spans="1:16" ht="15.75" thickBot="1" x14ac:dyDescent="0.3">
      <c r="A1">
        <v>7</v>
      </c>
      <c r="D1" t="s">
        <v>0</v>
      </c>
      <c r="E1" t="s">
        <v>1</v>
      </c>
      <c r="F1" t="s">
        <v>2</v>
      </c>
      <c r="G1" t="s">
        <v>5</v>
      </c>
      <c r="J1" t="s">
        <v>10</v>
      </c>
      <c r="K1" t="s">
        <v>9</v>
      </c>
      <c r="N1" s="6" t="s">
        <v>6</v>
      </c>
      <c r="O1" s="6" t="s">
        <v>7</v>
      </c>
      <c r="P1" s="6" t="s">
        <v>8</v>
      </c>
    </row>
    <row r="2" spans="1:16" x14ac:dyDescent="0.25">
      <c r="A2">
        <f>'Airfoil Interpolation'!AC4</f>
        <v>1</v>
      </c>
      <c r="B2">
        <f>'Airfoil Interpolation'!AD4</f>
        <v>5.9499999999999983E-4</v>
      </c>
      <c r="D2" s="4">
        <f>'Loft Viewer'!H5</f>
        <v>0.74999999999999989</v>
      </c>
      <c r="E2" s="4">
        <f>'Loft Viewer'!H6</f>
        <v>0.70937500000000009</v>
      </c>
      <c r="F2" s="4">
        <f>'Loft Viewer'!H7</f>
        <v>0.28124999999999989</v>
      </c>
      <c r="G2" s="4">
        <f>-'Loft Viewer'!H8</f>
        <v>-6.1158849535117064</v>
      </c>
      <c r="J2">
        <f>'Loft Viewer'!B2</f>
        <v>0</v>
      </c>
      <c r="K2" s="1">
        <f>((A2)*COS(3.14*G2/180)-B2*SIN(3.14*G2/180))</f>
        <v>0.99437756771180397</v>
      </c>
      <c r="L2" s="1">
        <f>((A2)*SIN(3.14*G2/180)+B2*COS(3.14*G2/180))/COS(3.14*G2/180)</f>
        <v>-0.10649985524691408</v>
      </c>
      <c r="N2" s="22">
        <f>K2*E2*1000/COS(G2*3.14/180)+F2*1000</f>
        <v>990.67020239569968</v>
      </c>
      <c r="O2" s="23">
        <f>L2*E2*1000/COS(G2*3.14/180)-J2*E2*L2*1000/COS(3.14*G2/180)</f>
        <v>-75.9803431992502</v>
      </c>
      <c r="P2" s="24">
        <f>D2*1000</f>
        <v>749.99999999999989</v>
      </c>
    </row>
    <row r="3" spans="1:16" x14ac:dyDescent="0.25">
      <c r="A3">
        <f>'Airfoil Interpolation'!AC5</f>
        <v>0.95472499999999993</v>
      </c>
      <c r="B3">
        <f>'Airfoil Interpolation'!AD5</f>
        <v>5.7099999999999998E-3</v>
      </c>
      <c r="D3">
        <f>D2</f>
        <v>0.74999999999999989</v>
      </c>
      <c r="E3">
        <f>E2</f>
        <v>0.70937500000000009</v>
      </c>
      <c r="F3">
        <f>F2</f>
        <v>0.28124999999999989</v>
      </c>
      <c r="G3">
        <f>G2</f>
        <v>-6.1158849535117064</v>
      </c>
      <c r="J3">
        <f>J2</f>
        <v>0</v>
      </c>
      <c r="K3" s="1">
        <f t="shared" ref="K3:K31" si="0">((A3)*COS(3.14*G3/180)-B3*SIN(3.14*G3/180))</f>
        <v>0.94990466748221247</v>
      </c>
      <c r="L3" s="1">
        <f t="shared" ref="L3:L31" si="1">((A3)*SIN(3.14*G3/180)+B3*COS(3.14*G3/180))/COS(3.14*G3/180)</f>
        <v>-9.6536135675610049E-2</v>
      </c>
      <c r="N3" s="25">
        <f t="shared" ref="N3:N31" si="2">K3*E3*1000/COS(G3*3.14/180)+F3*1000</f>
        <v>958.94183793289176</v>
      </c>
      <c r="O3" s="19">
        <f>L3*E3*1000/COS(G3*3.14/180)-J3*E3*L2*1000/COS(3.14*G2/180)</f>
        <v>-68.871912574498694</v>
      </c>
      <c r="P3" s="20">
        <f t="shared" ref="P3:P31" si="3">D3*1000</f>
        <v>749.99999999999989</v>
      </c>
    </row>
    <row r="4" spans="1:16" x14ac:dyDescent="0.25">
      <c r="A4">
        <f>'Airfoil Interpolation'!AC6</f>
        <v>0.86922499999999991</v>
      </c>
      <c r="B4">
        <f>'Airfoil Interpolation'!AD6</f>
        <v>1.5570000000000001E-2</v>
      </c>
      <c r="D4">
        <f t="shared" ref="D4:G19" si="4">D3</f>
        <v>0.74999999999999989</v>
      </c>
      <c r="E4">
        <f t="shared" si="4"/>
        <v>0.70937500000000009</v>
      </c>
      <c r="F4">
        <f t="shared" si="4"/>
        <v>0.28124999999999989</v>
      </c>
      <c r="G4">
        <f t="shared" si="4"/>
        <v>-6.1158849535117064</v>
      </c>
      <c r="J4">
        <f t="shared" ref="J4:J31" si="5">J3</f>
        <v>0</v>
      </c>
      <c r="K4" s="1">
        <f t="shared" si="0"/>
        <v>0.86594075397994918</v>
      </c>
      <c r="L4" s="1">
        <f t="shared" si="1"/>
        <v>-7.7519525551998897E-2</v>
      </c>
      <c r="N4" s="25">
        <f t="shared" si="2"/>
        <v>899.03934370448792</v>
      </c>
      <c r="O4" s="19">
        <f>L4*E4*1000/COS(G4*3.14/180)-J4*E4*L2*1000/COS(3.14*G2/180)</f>
        <v>-55.304865367453992</v>
      </c>
      <c r="P4" s="20">
        <f t="shared" si="3"/>
        <v>749.99999999999989</v>
      </c>
    </row>
    <row r="5" spans="1:16" x14ac:dyDescent="0.25">
      <c r="A5">
        <f>'Airfoil Interpolation'!AC7</f>
        <v>0.78271999999999997</v>
      </c>
      <c r="B5">
        <f>'Airfoil Interpolation'!AD7</f>
        <v>2.5975000000000002E-2</v>
      </c>
      <c r="D5">
        <f t="shared" si="4"/>
        <v>0.74999999999999989</v>
      </c>
      <c r="E5">
        <f t="shared" si="4"/>
        <v>0.70937500000000009</v>
      </c>
      <c r="F5">
        <f t="shared" si="4"/>
        <v>0.28124999999999989</v>
      </c>
      <c r="G5">
        <f t="shared" si="4"/>
        <v>-6.1158849535117064</v>
      </c>
      <c r="J5">
        <f t="shared" si="5"/>
        <v>0</v>
      </c>
      <c r="K5" s="1">
        <f t="shared" si="0"/>
        <v>0.78103558953331287</v>
      </c>
      <c r="L5" s="1">
        <f t="shared" si="1"/>
        <v>-5.7850285098864591E-2</v>
      </c>
      <c r="N5" s="25">
        <f t="shared" si="2"/>
        <v>838.46533147613673</v>
      </c>
      <c r="O5" s="19">
        <f>L5*E5*1000/COS(G5*3.14/180)-J5*E5*L2*1000/COS(3.14*G2/180)</f>
        <v>-41.272211176207811</v>
      </c>
      <c r="P5" s="20">
        <f t="shared" si="3"/>
        <v>749.99999999999989</v>
      </c>
    </row>
    <row r="6" spans="1:16" x14ac:dyDescent="0.25">
      <c r="A6">
        <f>'Airfoil Interpolation'!AC8</f>
        <v>0.69619500000000001</v>
      </c>
      <c r="B6">
        <f>'Airfoil Interpolation'!AD8</f>
        <v>3.6754999999999996E-2</v>
      </c>
      <c r="D6">
        <f t="shared" si="4"/>
        <v>0.74999999999999989</v>
      </c>
      <c r="E6">
        <f t="shared" si="4"/>
        <v>0.70937500000000009</v>
      </c>
      <c r="F6">
        <f t="shared" si="4"/>
        <v>0.28124999999999989</v>
      </c>
      <c r="G6">
        <f t="shared" si="4"/>
        <v>-6.1158849535117064</v>
      </c>
      <c r="J6">
        <f t="shared" si="5"/>
        <v>0</v>
      </c>
      <c r="K6" s="1">
        <f t="shared" si="0"/>
        <v>0.69615047102859406</v>
      </c>
      <c r="L6" s="1">
        <f t="shared" si="1"/>
        <v>-3.780390274862535E-2</v>
      </c>
      <c r="N6" s="25">
        <f t="shared" si="2"/>
        <v>777.90562065263828</v>
      </c>
      <c r="O6" s="19">
        <f>L6*E6*1000/COS(G6*3.14/180)-J6*E6*L2*1000/COS(3.14*G2/180)</f>
        <v>-26.970492104916371</v>
      </c>
      <c r="P6" s="20">
        <f t="shared" si="3"/>
        <v>749.99999999999989</v>
      </c>
    </row>
    <row r="7" spans="1:16" x14ac:dyDescent="0.25">
      <c r="A7">
        <f>'Airfoil Interpolation'!AC9</f>
        <v>0.60977500000000007</v>
      </c>
      <c r="B7">
        <f>'Airfoil Interpolation'!AD9</f>
        <v>4.7920000000000004E-2</v>
      </c>
      <c r="D7">
        <f t="shared" si="4"/>
        <v>0.74999999999999989</v>
      </c>
      <c r="E7">
        <f t="shared" si="4"/>
        <v>0.70937500000000009</v>
      </c>
      <c r="F7">
        <f t="shared" si="4"/>
        <v>0.28124999999999989</v>
      </c>
      <c r="G7">
        <f t="shared" si="4"/>
        <v>-6.1158849535117064</v>
      </c>
      <c r="J7">
        <f t="shared" si="5"/>
        <v>0</v>
      </c>
      <c r="K7" s="1">
        <f t="shared" si="0"/>
        <v>0.6114107526012279</v>
      </c>
      <c r="L7" s="1">
        <f t="shared" si="1"/>
        <v>-1.7383765358187041E-2</v>
      </c>
      <c r="N7" s="25">
        <f t="shared" si="2"/>
        <v>717.44964281312218</v>
      </c>
      <c r="O7" s="19">
        <f>L7*E7*1000/COS(G7*3.14/180)-J7*E7*L2*1000/COS(3.14*G2/180)</f>
        <v>-12.402124443718996</v>
      </c>
      <c r="P7" s="20">
        <f t="shared" si="3"/>
        <v>749.99999999999989</v>
      </c>
    </row>
    <row r="8" spans="1:16" x14ac:dyDescent="0.25">
      <c r="A8">
        <f>'Airfoil Interpolation'!AC10</f>
        <v>0.52349500000000004</v>
      </c>
      <c r="B8">
        <f>'Airfoil Interpolation'!AD10</f>
        <v>5.8640000000000012E-2</v>
      </c>
      <c r="D8">
        <f t="shared" si="4"/>
        <v>0.74999999999999989</v>
      </c>
      <c r="E8">
        <f t="shared" si="4"/>
        <v>0.70937500000000009</v>
      </c>
      <c r="F8">
        <f t="shared" si="4"/>
        <v>0.28124999999999989</v>
      </c>
      <c r="G8">
        <f t="shared" si="4"/>
        <v>-6.1158849535117064</v>
      </c>
      <c r="J8">
        <f t="shared" si="5"/>
        <v>0</v>
      </c>
      <c r="K8" s="1">
        <f t="shared" si="0"/>
        <v>0.52676285192143679</v>
      </c>
      <c r="L8" s="1">
        <f t="shared" si="1"/>
        <v>2.5763787525167124E-3</v>
      </c>
      <c r="N8" s="25">
        <f t="shared" si="2"/>
        <v>657.05917063984725</v>
      </c>
      <c r="O8" s="19">
        <f>L8*E8*1000/COS(G8*3.14/180)-J8*E8*L2*1000/COS(3.14*G2/180)</f>
        <v>1.838069557687479</v>
      </c>
      <c r="P8" s="20">
        <f t="shared" si="3"/>
        <v>749.99999999999989</v>
      </c>
    </row>
    <row r="9" spans="1:16" x14ac:dyDescent="0.25">
      <c r="A9">
        <f>'Airfoil Interpolation'!AC11</f>
        <v>0.437525</v>
      </c>
      <c r="B9">
        <f>'Airfoil Interpolation'!AD11</f>
        <v>6.7229999999999998E-2</v>
      </c>
      <c r="D9">
        <f t="shared" si="4"/>
        <v>0.74999999999999989</v>
      </c>
      <c r="E9">
        <f t="shared" si="4"/>
        <v>0.70937500000000009</v>
      </c>
      <c r="F9">
        <f t="shared" si="4"/>
        <v>0.28124999999999989</v>
      </c>
      <c r="G9">
        <f t="shared" si="4"/>
        <v>-6.1158849535117064</v>
      </c>
      <c r="J9">
        <f t="shared" si="5"/>
        <v>0</v>
      </c>
      <c r="K9" s="1">
        <f t="shared" si="0"/>
        <v>0.44219637360211894</v>
      </c>
      <c r="L9" s="1">
        <f t="shared" si="1"/>
        <v>2.0373323458093916E-2</v>
      </c>
      <c r="N9" s="25">
        <f t="shared" si="2"/>
        <v>596.72678773700852</v>
      </c>
      <c r="O9" s="19">
        <f>L9*E9*1000/COS(G9*3.14/180)-J9*E9*L2*1000/COS(3.14*G2/180)</f>
        <v>14.534969130863344</v>
      </c>
      <c r="P9" s="20">
        <f t="shared" si="3"/>
        <v>749.99999999999989</v>
      </c>
    </row>
    <row r="10" spans="1:16" x14ac:dyDescent="0.25">
      <c r="A10">
        <f>'Airfoil Interpolation'!AC12</f>
        <v>0.35175499999999998</v>
      </c>
      <c r="B10">
        <f>'Airfoil Interpolation'!AD12</f>
        <v>7.281E-2</v>
      </c>
      <c r="D10">
        <f t="shared" si="4"/>
        <v>0.74999999999999989</v>
      </c>
      <c r="E10">
        <f t="shared" si="4"/>
        <v>0.70937500000000009</v>
      </c>
      <c r="F10">
        <f t="shared" si="4"/>
        <v>0.28124999999999989</v>
      </c>
      <c r="G10">
        <f t="shared" si="4"/>
        <v>-6.1158849535117064</v>
      </c>
      <c r="J10">
        <f t="shared" si="5"/>
        <v>0</v>
      </c>
      <c r="K10" s="1">
        <f t="shared" si="0"/>
        <v>0.35750823545644134</v>
      </c>
      <c r="L10" s="1">
        <f t="shared" si="1"/>
        <v>3.5138849192621731E-2</v>
      </c>
      <c r="N10" s="25">
        <f t="shared" si="2"/>
        <v>536.30760889121802</v>
      </c>
      <c r="O10" s="19">
        <f>L10*E10*1000/COS(G10*3.14/180)-J10*E10*L2*1000/COS(3.14*G2/180)</f>
        <v>25.069159156058632</v>
      </c>
      <c r="P10" s="20">
        <f t="shared" si="3"/>
        <v>749.99999999999989</v>
      </c>
    </row>
    <row r="11" spans="1:16" x14ac:dyDescent="0.25">
      <c r="A11">
        <f>'Airfoil Interpolation'!AC13</f>
        <v>0.26674000000000003</v>
      </c>
      <c r="B11">
        <f>'Airfoil Interpolation'!AD13</f>
        <v>7.3735000000000009E-2</v>
      </c>
      <c r="D11">
        <f t="shared" si="4"/>
        <v>0.74999999999999989</v>
      </c>
      <c r="E11">
        <f t="shared" si="4"/>
        <v>0.70937500000000009</v>
      </c>
      <c r="F11">
        <f t="shared" si="4"/>
        <v>0.28124999999999989</v>
      </c>
      <c r="G11">
        <f t="shared" si="4"/>
        <v>-6.1158849535117064</v>
      </c>
      <c r="J11">
        <f t="shared" si="5"/>
        <v>0</v>
      </c>
      <c r="K11" s="1">
        <f t="shared" si="0"/>
        <v>0.27307511250505456</v>
      </c>
      <c r="L11" s="1">
        <f t="shared" si="1"/>
        <v>4.5168518311438137E-2</v>
      </c>
      <c r="N11" s="25">
        <f t="shared" si="2"/>
        <v>476.07036589818836</v>
      </c>
      <c r="O11" s="19">
        <f>L11*E11*1000/COS(G11*3.14/180)-J11*E11*L2*1000/COS(3.14*G2/180)</f>
        <v>32.22464026028927</v>
      </c>
      <c r="P11" s="20">
        <f t="shared" si="3"/>
        <v>749.99999999999989</v>
      </c>
    </row>
    <row r="12" spans="1:16" x14ac:dyDescent="0.25">
      <c r="A12">
        <f>'Airfoil Interpolation'!AC14</f>
        <v>0.1827</v>
      </c>
      <c r="B12">
        <f>'Airfoil Interpolation'!AD14</f>
        <v>6.9400000000000003E-2</v>
      </c>
      <c r="D12">
        <f t="shared" si="4"/>
        <v>0.74999999999999989</v>
      </c>
      <c r="E12">
        <f t="shared" si="4"/>
        <v>0.70937500000000009</v>
      </c>
      <c r="F12">
        <f t="shared" si="4"/>
        <v>0.28124999999999989</v>
      </c>
      <c r="G12">
        <f t="shared" si="4"/>
        <v>-6.1158849535117064</v>
      </c>
      <c r="J12">
        <f t="shared" si="5"/>
        <v>0</v>
      </c>
      <c r="K12" s="1">
        <f t="shared" si="0"/>
        <v>0.18905132988242213</v>
      </c>
      <c r="L12" s="1">
        <f t="shared" si="1"/>
        <v>4.9833769946388808E-2</v>
      </c>
      <c r="N12" s="25">
        <f t="shared" si="2"/>
        <v>416.12515915809001</v>
      </c>
      <c r="O12" s="19">
        <f>L12*E12*1000/COS(G12*3.14/180)-J12*E12*L2*1000/COS(3.14*G2/180)</f>
        <v>35.552977369411174</v>
      </c>
      <c r="P12" s="20">
        <f t="shared" si="3"/>
        <v>749.99999999999989</v>
      </c>
    </row>
    <row r="13" spans="1:16" x14ac:dyDescent="0.25">
      <c r="A13">
        <f>'Airfoil Interpolation'!AC15</f>
        <v>0.10282000000000001</v>
      </c>
      <c r="B13">
        <f>'Airfoil Interpolation'!AD15</f>
        <v>5.6945000000000003E-2</v>
      </c>
      <c r="D13">
        <f t="shared" si="4"/>
        <v>0.74999999999999989</v>
      </c>
      <c r="E13">
        <f t="shared" si="4"/>
        <v>0.70937500000000009</v>
      </c>
      <c r="F13">
        <f t="shared" si="4"/>
        <v>0.28124999999999989</v>
      </c>
      <c r="G13">
        <f t="shared" si="4"/>
        <v>-6.1158849535117064</v>
      </c>
      <c r="J13">
        <f t="shared" si="5"/>
        <v>0</v>
      </c>
      <c r="K13" s="1">
        <f t="shared" si="0"/>
        <v>0.10829922856523051</v>
      </c>
      <c r="L13" s="1">
        <f t="shared" si="1"/>
        <v>4.5933506983512298E-2</v>
      </c>
      <c r="N13" s="25">
        <f t="shared" si="2"/>
        <v>358.51407266491259</v>
      </c>
      <c r="O13" s="19">
        <f>L13*E13*1000/COS(G13*3.14/180)-J13*E13*L2*1000/COS(3.14*G2/180)</f>
        <v>32.770407216619638</v>
      </c>
      <c r="P13" s="20">
        <f t="shared" si="3"/>
        <v>749.99999999999989</v>
      </c>
    </row>
    <row r="14" spans="1:16" x14ac:dyDescent="0.25">
      <c r="A14">
        <f>'Airfoil Interpolation'!AC16</f>
        <v>3.9265000000000001E-2</v>
      </c>
      <c r="B14">
        <f>'Airfoil Interpolation'!AD16</f>
        <v>3.6835000000000007E-2</v>
      </c>
      <c r="D14">
        <f t="shared" si="4"/>
        <v>0.74999999999999989</v>
      </c>
      <c r="E14">
        <f t="shared" si="4"/>
        <v>0.70937500000000009</v>
      </c>
      <c r="F14">
        <f t="shared" si="4"/>
        <v>0.28124999999999989</v>
      </c>
      <c r="G14">
        <f t="shared" si="4"/>
        <v>-6.1158849535117064</v>
      </c>
      <c r="J14">
        <f t="shared" si="5"/>
        <v>0</v>
      </c>
      <c r="K14" s="1">
        <f t="shared" si="0"/>
        <v>4.2964156861202862E-2</v>
      </c>
      <c r="L14" s="1">
        <f t="shared" si="1"/>
        <v>3.2629920508729933E-2</v>
      </c>
      <c r="N14" s="25">
        <f t="shared" si="2"/>
        <v>311.90197953567349</v>
      </c>
      <c r="O14" s="19">
        <f>L14*E14*1000/COS(G14*3.14/180)-J14*E14*L2*1000/COS(3.14*G2/180)</f>
        <v>23.279210596761732</v>
      </c>
      <c r="P14" s="20">
        <f t="shared" si="3"/>
        <v>749.99999999999989</v>
      </c>
    </row>
    <row r="15" spans="1:16" x14ac:dyDescent="0.25">
      <c r="A15">
        <f>'Airfoil Interpolation'!AC17</f>
        <v>1.0915000000000001E-2</v>
      </c>
      <c r="B15">
        <f>'Airfoil Interpolation'!AD17</f>
        <v>1.8815000000000002E-2</v>
      </c>
      <c r="D15">
        <f t="shared" si="4"/>
        <v>0.74999999999999989</v>
      </c>
      <c r="E15">
        <f t="shared" si="4"/>
        <v>0.70937500000000009</v>
      </c>
      <c r="F15">
        <f t="shared" si="4"/>
        <v>0.28124999999999989</v>
      </c>
      <c r="G15">
        <f t="shared" si="4"/>
        <v>-6.1158849535117064</v>
      </c>
      <c r="J15">
        <f t="shared" si="5"/>
        <v>0</v>
      </c>
      <c r="K15" s="1">
        <f t="shared" si="0"/>
        <v>1.285647247696205E-2</v>
      </c>
      <c r="L15" s="1">
        <f t="shared" si="1"/>
        <v>1.7646059654979934E-2</v>
      </c>
      <c r="N15" s="25">
        <f t="shared" si="2"/>
        <v>290.42221144448064</v>
      </c>
      <c r="O15" s="19">
        <f>L15*E15*1000/COS(G15*3.14/180)-J15*E15*L2*1000/COS(3.14*G2/180)</f>
        <v>12.589253436930539</v>
      </c>
      <c r="P15" s="20">
        <f t="shared" si="3"/>
        <v>749.99999999999989</v>
      </c>
    </row>
    <row r="16" spans="1:16" x14ac:dyDescent="0.25">
      <c r="A16">
        <f>'Airfoil Interpolation'!AC18</f>
        <v>1.2099999999999999E-3</v>
      </c>
      <c r="B16">
        <f>'Airfoil Interpolation'!AD18</f>
        <v>6.7099999999999998E-3</v>
      </c>
      <c r="D16">
        <f t="shared" si="4"/>
        <v>0.74999999999999989</v>
      </c>
      <c r="E16">
        <f t="shared" si="4"/>
        <v>0.70937500000000009</v>
      </c>
      <c r="F16">
        <f t="shared" si="4"/>
        <v>0.28124999999999989</v>
      </c>
      <c r="G16">
        <f t="shared" si="4"/>
        <v>-6.1158849535117064</v>
      </c>
      <c r="J16">
        <f t="shared" si="5"/>
        <v>0</v>
      </c>
      <c r="K16" s="1">
        <f t="shared" si="0"/>
        <v>1.9176408245371093E-3</v>
      </c>
      <c r="L16" s="1">
        <f t="shared" si="1"/>
        <v>6.5804152251512336E-3</v>
      </c>
      <c r="N16" s="25">
        <f t="shared" si="2"/>
        <v>282.61810522083249</v>
      </c>
      <c r="O16" s="19">
        <f>L16*E16*1000/COS(G16*3.14/180)-J16*E16*L2*1000/COS(3.14*G2/180)</f>
        <v>4.6946749931385421</v>
      </c>
      <c r="P16" s="20">
        <f t="shared" si="3"/>
        <v>749.99999999999989</v>
      </c>
    </row>
    <row r="17" spans="1:16" x14ac:dyDescent="0.25">
      <c r="A17">
        <f>'Airfoil Interpolation'!AC19</f>
        <v>7.1999999999999994E-4</v>
      </c>
      <c r="B17">
        <f>'Airfoil Interpolation'!AD19</f>
        <v>-3.2199999999999998E-3</v>
      </c>
      <c r="D17">
        <f t="shared" si="4"/>
        <v>0.74999999999999989</v>
      </c>
      <c r="E17">
        <f t="shared" si="4"/>
        <v>0.70937500000000009</v>
      </c>
      <c r="F17">
        <f t="shared" si="4"/>
        <v>0.28124999999999989</v>
      </c>
      <c r="G17">
        <f t="shared" si="4"/>
        <v>-6.1158849535117064</v>
      </c>
      <c r="J17">
        <f t="shared" si="5"/>
        <v>0</v>
      </c>
      <c r="K17" s="1">
        <f t="shared" si="0"/>
        <v>3.7302151549170674E-4</v>
      </c>
      <c r="L17" s="1">
        <f t="shared" si="1"/>
        <v>-3.2971082957777781E-3</v>
      </c>
      <c r="N17" s="25">
        <f t="shared" si="2"/>
        <v>281.51612527033058</v>
      </c>
      <c r="O17" s="19">
        <f>L17*E17*1000/COS(G17*3.14/180)-J17*E17*L2*1000/COS(3.14*G2/180)</f>
        <v>-2.3522606608007517</v>
      </c>
      <c r="P17" s="20">
        <f t="shared" si="3"/>
        <v>749.99999999999989</v>
      </c>
    </row>
    <row r="18" spans="1:16" x14ac:dyDescent="0.25">
      <c r="A18">
        <f>'Airfoil Interpolation'!AC20</f>
        <v>9.2149999999999992E-3</v>
      </c>
      <c r="B18">
        <f>'Airfoil Interpolation'!AD20</f>
        <v>-1.3764999999999999E-2</v>
      </c>
      <c r="D18">
        <f t="shared" si="4"/>
        <v>0.74999999999999989</v>
      </c>
      <c r="E18">
        <f t="shared" si="4"/>
        <v>0.70937500000000009</v>
      </c>
      <c r="F18">
        <f t="shared" si="4"/>
        <v>0.28124999999999989</v>
      </c>
      <c r="G18">
        <f t="shared" si="4"/>
        <v>-6.1158849535117064</v>
      </c>
      <c r="J18">
        <f t="shared" si="5"/>
        <v>0</v>
      </c>
      <c r="K18" s="1">
        <f t="shared" si="0"/>
        <v>7.6968265197490436E-3</v>
      </c>
      <c r="L18" s="1">
        <f t="shared" si="1"/>
        <v>-1.4751879091100312E-2</v>
      </c>
      <c r="N18" s="25">
        <f t="shared" si="2"/>
        <v>286.74115789087006</v>
      </c>
      <c r="O18" s="19">
        <f>L18*E18*1000/COS(G18*3.14/180)-J18*E18*L2*1000/COS(3.14*G2/180)</f>
        <v>-10.524454080965734</v>
      </c>
      <c r="P18" s="20">
        <f t="shared" si="3"/>
        <v>749.99999999999989</v>
      </c>
    </row>
    <row r="19" spans="1:16" x14ac:dyDescent="0.25">
      <c r="A19">
        <f>'Airfoil Interpolation'!AC21</f>
        <v>3.4409999999999996E-2</v>
      </c>
      <c r="B19">
        <f>'Airfoil Interpolation'!AD21</f>
        <v>-2.571E-2</v>
      </c>
      <c r="D19">
        <f t="shared" si="4"/>
        <v>0.74999999999999989</v>
      </c>
      <c r="E19">
        <f t="shared" si="4"/>
        <v>0.70937500000000009</v>
      </c>
      <c r="F19">
        <f t="shared" si="4"/>
        <v>0.28124999999999989</v>
      </c>
      <c r="G19">
        <f t="shared" si="4"/>
        <v>-6.1158849535117064</v>
      </c>
      <c r="J19">
        <f t="shared" si="5"/>
        <v>0</v>
      </c>
      <c r="K19" s="1">
        <f t="shared" si="0"/>
        <v>3.147659849655516E-2</v>
      </c>
      <c r="L19" s="1">
        <f t="shared" si="1"/>
        <v>-2.9395133969046316E-2</v>
      </c>
      <c r="N19" s="25">
        <f t="shared" si="2"/>
        <v>303.70639443329242</v>
      </c>
      <c r="O19" s="19">
        <f>L19*E19*1000/COS(G19*3.14/180)-J19*E19*L2*1000/COS(3.14*G2/180)</f>
        <v>-20.971412235048959</v>
      </c>
      <c r="P19" s="20">
        <f t="shared" si="3"/>
        <v>749.99999999999989</v>
      </c>
    </row>
    <row r="20" spans="1:16" x14ac:dyDescent="0.25">
      <c r="A20">
        <f>'Airfoil Interpolation'!AC22</f>
        <v>9.5469999999999999E-2</v>
      </c>
      <c r="B20">
        <f>'Airfoil Interpolation'!AD22</f>
        <v>-4.0184999999999998E-2</v>
      </c>
      <c r="D20">
        <f t="shared" ref="D20:G31" si="6">D19</f>
        <v>0.74999999999999989</v>
      </c>
      <c r="E20">
        <f t="shared" si="6"/>
        <v>0.70937500000000009</v>
      </c>
      <c r="F20">
        <f t="shared" si="6"/>
        <v>0.28124999999999989</v>
      </c>
      <c r="G20">
        <f t="shared" si="6"/>
        <v>-6.1158849535117064</v>
      </c>
      <c r="J20">
        <f t="shared" si="5"/>
        <v>0</v>
      </c>
      <c r="K20" s="1">
        <f t="shared" si="0"/>
        <v>9.0648040145392128E-2</v>
      </c>
      <c r="L20" s="1">
        <f t="shared" si="1"/>
        <v>-5.0409345830422878E-2</v>
      </c>
      <c r="N20" s="25">
        <f t="shared" si="2"/>
        <v>345.92116020597467</v>
      </c>
      <c r="O20" s="19">
        <f>L20*E20*1000/COS(G20*3.14/180)-J20*E20*L2*1000/COS(3.14*G2/180)</f>
        <v>-35.963611290975933</v>
      </c>
      <c r="P20" s="20">
        <f t="shared" si="3"/>
        <v>749.99999999999989</v>
      </c>
    </row>
    <row r="21" spans="1:16" x14ac:dyDescent="0.25">
      <c r="A21">
        <f>'Airfoil Interpolation'!AC23</f>
        <v>0.17686499999999999</v>
      </c>
      <c r="B21">
        <f>'Airfoil Interpolation'!AD23</f>
        <v>-4.7914999999999999E-2</v>
      </c>
      <c r="D21">
        <f t="shared" si="6"/>
        <v>0.74999999999999989</v>
      </c>
      <c r="E21">
        <f t="shared" si="6"/>
        <v>0.70937500000000009</v>
      </c>
      <c r="F21">
        <f t="shared" si="6"/>
        <v>0.28124999999999989</v>
      </c>
      <c r="G21">
        <f t="shared" si="6"/>
        <v>-6.1158849535117064</v>
      </c>
      <c r="J21">
        <f t="shared" si="5"/>
        <v>0</v>
      </c>
      <c r="K21" s="1">
        <f t="shared" si="0"/>
        <v>0.17075710886562209</v>
      </c>
      <c r="L21" s="1">
        <f t="shared" si="1"/>
        <v>-6.685633157324547E-2</v>
      </c>
      <c r="N21" s="25">
        <f t="shared" si="2"/>
        <v>403.07348703894246</v>
      </c>
      <c r="O21" s="19">
        <f>L21*E21*1000/COS(G21*3.14/180)-J21*E21*L2*1000/COS(3.14*G2/180)</f>
        <v>-47.69740772136165</v>
      </c>
      <c r="P21" s="20">
        <f t="shared" si="3"/>
        <v>749.99999999999989</v>
      </c>
    </row>
    <row r="22" spans="1:16" x14ac:dyDescent="0.25">
      <c r="A22">
        <f>'Airfoil Interpolation'!AC24</f>
        <v>0.26191000000000003</v>
      </c>
      <c r="B22">
        <f>'Airfoil Interpolation'!AD24</f>
        <v>-5.0630000000000001E-2</v>
      </c>
      <c r="D22">
        <f t="shared" si="6"/>
        <v>0.74999999999999989</v>
      </c>
      <c r="E22">
        <f t="shared" si="6"/>
        <v>0.70937500000000009</v>
      </c>
      <c r="F22">
        <f t="shared" si="6"/>
        <v>0.28124999999999989</v>
      </c>
      <c r="G22">
        <f t="shared" si="6"/>
        <v>-6.1158849535117064</v>
      </c>
      <c r="J22">
        <f t="shared" si="5"/>
        <v>0</v>
      </c>
      <c r="K22" s="1">
        <f t="shared" si="0"/>
        <v>0.25502945141740069</v>
      </c>
      <c r="L22" s="1">
        <f t="shared" si="1"/>
        <v>-7.867921353771927E-2</v>
      </c>
      <c r="N22" s="25">
        <f t="shared" si="2"/>
        <v>463.19602424280822</v>
      </c>
      <c r="O22" s="19">
        <f>L22*E22*1000/COS(G22*3.14/180)-J22*E22*L2*1000/COS(3.14*G2/180)</f>
        <v>-56.132223216483872</v>
      </c>
      <c r="P22" s="20">
        <f t="shared" si="3"/>
        <v>749.99999999999989</v>
      </c>
    </row>
    <row r="23" spans="1:16" x14ac:dyDescent="0.25">
      <c r="A23">
        <f>'Airfoil Interpolation'!AC25</f>
        <v>0.34792000000000001</v>
      </c>
      <c r="B23">
        <f>'Airfoil Interpolation'!AD25</f>
        <v>-5.0500000000000003E-2</v>
      </c>
      <c r="D23">
        <f t="shared" si="6"/>
        <v>0.74999999999999989</v>
      </c>
      <c r="E23">
        <f t="shared" si="6"/>
        <v>0.70937500000000009</v>
      </c>
      <c r="F23">
        <f t="shared" si="6"/>
        <v>0.28124999999999989</v>
      </c>
      <c r="G23">
        <f t="shared" si="6"/>
        <v>-6.1158849535117064</v>
      </c>
      <c r="J23">
        <f t="shared" si="5"/>
        <v>0</v>
      </c>
      <c r="K23" s="1">
        <f t="shared" si="0"/>
        <v>0.34056425966905524</v>
      </c>
      <c r="L23" s="1">
        <f t="shared" si="1"/>
        <v>-8.7760442037506353E-2</v>
      </c>
      <c r="N23" s="25">
        <f t="shared" si="2"/>
        <v>524.21924414649061</v>
      </c>
      <c r="O23" s="19">
        <f>L23*E23*1000/COS(G23*3.14/180)-J23*E23*L2*1000/COS(3.14*G2/180)</f>
        <v>-62.611056980951616</v>
      </c>
      <c r="P23" s="20">
        <f t="shared" si="3"/>
        <v>749.99999999999989</v>
      </c>
    </row>
    <row r="24" spans="1:16" x14ac:dyDescent="0.25">
      <c r="A24">
        <f>'Airfoil Interpolation'!AC26</f>
        <v>0.43439</v>
      </c>
      <c r="B24">
        <f>'Airfoil Interpolation'!AD26</f>
        <v>-4.8039999999999999E-2</v>
      </c>
      <c r="D24">
        <f t="shared" si="6"/>
        <v>0.74999999999999989</v>
      </c>
      <c r="E24">
        <f t="shared" si="6"/>
        <v>0.70937500000000009</v>
      </c>
      <c r="F24">
        <f t="shared" si="6"/>
        <v>0.28124999999999989</v>
      </c>
      <c r="G24">
        <f t="shared" si="6"/>
        <v>-6.1158849535117064</v>
      </c>
      <c r="J24">
        <f t="shared" si="5"/>
        <v>0</v>
      </c>
      <c r="K24" s="1">
        <f t="shared" si="0"/>
        <v>0.42680456468809058</v>
      </c>
      <c r="L24" s="1">
        <f t="shared" si="1"/>
        <v>-9.4560934170707017E-2</v>
      </c>
      <c r="N24" s="25">
        <f t="shared" si="2"/>
        <v>585.74578761232488</v>
      </c>
      <c r="O24" s="19">
        <f>L24*E24*1000/COS(G24*3.14/180)-J24*E24*L2*1000/COS(3.14*G2/180)</f>
        <v>-67.462741755606388</v>
      </c>
      <c r="P24" s="20">
        <f t="shared" si="3"/>
        <v>749.99999999999989</v>
      </c>
    </row>
    <row r="25" spans="1:16" x14ac:dyDescent="0.25">
      <c r="A25">
        <f>'Airfoil Interpolation'!AC27</f>
        <v>0.52126500000000009</v>
      </c>
      <c r="B25">
        <f>'Airfoil Interpolation'!AD27</f>
        <v>-4.3785000000000004E-2</v>
      </c>
      <c r="D25">
        <f t="shared" si="6"/>
        <v>0.74999999999999989</v>
      </c>
      <c r="E25">
        <f t="shared" si="6"/>
        <v>0.70937500000000009</v>
      </c>
      <c r="F25">
        <f t="shared" si="6"/>
        <v>0.28124999999999989</v>
      </c>
      <c r="G25">
        <f t="shared" si="6"/>
        <v>-6.1158849535117064</v>
      </c>
      <c r="J25">
        <f t="shared" si="5"/>
        <v>0</v>
      </c>
      <c r="K25" s="1">
        <f t="shared" si="0"/>
        <v>0.5136387092171476</v>
      </c>
      <c r="L25" s="1">
        <f t="shared" si="1"/>
        <v>-9.9609799720282693E-2</v>
      </c>
      <c r="N25" s="25">
        <f t="shared" si="2"/>
        <v>647.695994844388</v>
      </c>
      <c r="O25" s="19">
        <f>L25*E25*1000/COS(G25*3.14/180)-J25*E25*L2*1000/COS(3.14*G2/180)</f>
        <v>-71.064761085437766</v>
      </c>
      <c r="P25" s="20">
        <f t="shared" si="3"/>
        <v>749.99999999999989</v>
      </c>
    </row>
    <row r="26" spans="1:16" x14ac:dyDescent="0.25">
      <c r="A26">
        <f>'Airfoil Interpolation'!AC28</f>
        <v>0.60827000000000009</v>
      </c>
      <c r="B26">
        <f>'Airfoil Interpolation'!AD28</f>
        <v>-3.8155000000000001E-2</v>
      </c>
      <c r="D26">
        <f t="shared" si="6"/>
        <v>0.74999999999999989</v>
      </c>
      <c r="E26">
        <f t="shared" si="6"/>
        <v>0.70937500000000009</v>
      </c>
      <c r="F26">
        <f t="shared" si="6"/>
        <v>0.28124999999999989</v>
      </c>
      <c r="G26">
        <f t="shared" si="6"/>
        <v>-6.1158849535117064</v>
      </c>
      <c r="J26">
        <f t="shared" si="5"/>
        <v>0</v>
      </c>
      <c r="K26" s="1">
        <f t="shared" si="0"/>
        <v>0.60074853275564688</v>
      </c>
      <c r="L26" s="1">
        <f t="shared" si="1"/>
        <v>-0.10329758760104045</v>
      </c>
      <c r="N26" s="25">
        <f t="shared" si="2"/>
        <v>709.84288014424465</v>
      </c>
      <c r="O26" s="19">
        <f>L26*E26*1000/COS(G26*3.14/180)-J26*E26*L2*1000/COS(3.14*G2/180)</f>
        <v>-73.695744838198607</v>
      </c>
      <c r="P26" s="20">
        <f t="shared" si="3"/>
        <v>749.99999999999989</v>
      </c>
    </row>
    <row r="27" spans="1:16" x14ac:dyDescent="0.25">
      <c r="A27">
        <f>'Airfoil Interpolation'!AC29</f>
        <v>0.69527499999999998</v>
      </c>
      <c r="B27">
        <f>'Airfoil Interpolation'!AD29</f>
        <v>-3.1315000000000003E-2</v>
      </c>
      <c r="D27">
        <f t="shared" si="6"/>
        <v>0.74999999999999989</v>
      </c>
      <c r="E27">
        <f t="shared" si="6"/>
        <v>0.70937500000000009</v>
      </c>
      <c r="F27">
        <f t="shared" si="6"/>
        <v>0.28124999999999989</v>
      </c>
      <c r="G27">
        <f t="shared" si="6"/>
        <v>-6.1158849535117064</v>
      </c>
      <c r="J27">
        <f t="shared" si="5"/>
        <v>0</v>
      </c>
      <c r="K27" s="1">
        <f t="shared" si="0"/>
        <v>0.68798720427699389</v>
      </c>
      <c r="L27" s="1">
        <f t="shared" si="1"/>
        <v>-0.10577537548179819</v>
      </c>
      <c r="N27" s="25">
        <f t="shared" si="2"/>
        <v>772.08168964375955</v>
      </c>
      <c r="O27" s="19">
        <f>L27*E27*1000/COS(G27*3.14/180)-J27*E27*L2*1000/COS(3.14*G2/180)</f>
        <v>-75.46347657002525</v>
      </c>
      <c r="P27" s="20">
        <f t="shared" si="3"/>
        <v>749.99999999999989</v>
      </c>
    </row>
    <row r="28" spans="1:16" x14ac:dyDescent="0.25">
      <c r="A28">
        <f>'Airfoil Interpolation'!AC30</f>
        <v>0.78222499999999995</v>
      </c>
      <c r="B28">
        <f>'Airfoil Interpolation'!AD30</f>
        <v>-2.3565000000000003E-2</v>
      </c>
      <c r="D28">
        <f t="shared" si="6"/>
        <v>0.74999999999999989</v>
      </c>
      <c r="E28">
        <f t="shared" si="6"/>
        <v>0.70937500000000009</v>
      </c>
      <c r="F28">
        <f t="shared" si="6"/>
        <v>0.28124999999999989</v>
      </c>
      <c r="G28">
        <f t="shared" si="6"/>
        <v>-6.1158849535117064</v>
      </c>
      <c r="J28">
        <f t="shared" si="5"/>
        <v>0</v>
      </c>
      <c r="K28" s="1">
        <f t="shared" si="0"/>
        <v>0.77526809071884528</v>
      </c>
      <c r="L28" s="1">
        <f t="shared" si="1"/>
        <v>-0.10733727314551736</v>
      </c>
      <c r="N28" s="25">
        <f t="shared" si="2"/>
        <v>834.35061659405051</v>
      </c>
      <c r="O28" s="19">
        <f>L28*E28*1000/COS(G28*3.14/180)-J28*E28*L2*1000/COS(3.14*G2/180)</f>
        <v>-76.577783441676402</v>
      </c>
      <c r="P28" s="20">
        <f t="shared" si="3"/>
        <v>749.99999999999989</v>
      </c>
    </row>
    <row r="29" spans="1:16" x14ac:dyDescent="0.25">
      <c r="A29">
        <f>'Airfoil Interpolation'!AC31</f>
        <v>0.86909499999999995</v>
      </c>
      <c r="B29">
        <f>'Airfoil Interpolation'!AD31</f>
        <v>-1.4839999999999999E-2</v>
      </c>
      <c r="D29">
        <f t="shared" si="6"/>
        <v>0.74999999999999989</v>
      </c>
      <c r="E29">
        <f t="shared" si="6"/>
        <v>0.70937500000000009</v>
      </c>
      <c r="F29">
        <f t="shared" si="6"/>
        <v>0.28124999999999989</v>
      </c>
      <c r="G29">
        <f t="shared" si="6"/>
        <v>-6.1158849535117064</v>
      </c>
      <c r="J29">
        <f t="shared" si="5"/>
        <v>0</v>
      </c>
      <c r="K29" s="1">
        <f t="shared" si="0"/>
        <v>0.8625732558118423</v>
      </c>
      <c r="L29" s="1">
        <f t="shared" si="1"/>
        <v>-0.10791560322081678</v>
      </c>
      <c r="N29" s="25">
        <f t="shared" si="2"/>
        <v>896.6368646969587</v>
      </c>
      <c r="O29" s="19">
        <f>L29*E29*1000/COS(G29*3.14/180)-J29*E29*L2*1000/COS(3.14*G2/180)</f>
        <v>-76.99038228983278</v>
      </c>
      <c r="P29" s="20">
        <f t="shared" si="3"/>
        <v>749.99999999999989</v>
      </c>
    </row>
    <row r="30" spans="1:16" x14ac:dyDescent="0.25">
      <c r="A30">
        <f>'Airfoil Interpolation'!AC32</f>
        <v>0.95472999999999997</v>
      </c>
      <c r="B30">
        <f>'Airfoil Interpolation'!AD32</f>
        <v>-5.5100000000000001E-3</v>
      </c>
      <c r="D30">
        <f t="shared" si="6"/>
        <v>0.74999999999999989</v>
      </c>
      <c r="E30">
        <f t="shared" si="6"/>
        <v>0.70937500000000009</v>
      </c>
      <c r="F30">
        <f t="shared" si="6"/>
        <v>0.28124999999999989</v>
      </c>
      <c r="G30">
        <f t="shared" si="6"/>
        <v>-6.1158849535117064</v>
      </c>
      <c r="J30">
        <f t="shared" si="5"/>
        <v>0</v>
      </c>
      <c r="K30" s="1">
        <f t="shared" si="0"/>
        <v>0.94871486684866735</v>
      </c>
      <c r="L30" s="1">
        <f t="shared" si="1"/>
        <v>-0.10775667114988628</v>
      </c>
      <c r="N30" s="25">
        <f t="shared" si="2"/>
        <v>958.0929967746963</v>
      </c>
      <c r="O30" s="19">
        <f>L30*E30*1000/COS(G30*3.14/180)-J30*E30*L2*1000/COS(3.14*G2/180)</f>
        <v>-76.876995156426176</v>
      </c>
      <c r="P30" s="20">
        <f t="shared" si="3"/>
        <v>749.99999999999989</v>
      </c>
    </row>
    <row r="31" spans="1:16" ht="15.75" thickBot="1" x14ac:dyDescent="0.3">
      <c r="A31">
        <f>'Airfoil Interpolation'!AC33</f>
        <v>1</v>
      </c>
      <c r="B31">
        <f>'Airfoil Interpolation'!AD33</f>
        <v>-4.5499999999999989E-4</v>
      </c>
      <c r="D31">
        <f t="shared" si="6"/>
        <v>0.74999999999999989</v>
      </c>
      <c r="E31">
        <f t="shared" si="6"/>
        <v>0.70937500000000009</v>
      </c>
      <c r="F31">
        <f t="shared" si="6"/>
        <v>0.28124999999999989</v>
      </c>
      <c r="G31">
        <f t="shared" si="6"/>
        <v>-6.1158849535117064</v>
      </c>
      <c r="J31">
        <f t="shared" si="5"/>
        <v>0</v>
      </c>
      <c r="K31" s="1">
        <f t="shared" si="0"/>
        <v>0.99426575747875434</v>
      </c>
      <c r="L31" s="1">
        <f t="shared" si="1"/>
        <v>-0.10754985524691409</v>
      </c>
      <c r="N31" s="26">
        <f t="shared" si="2"/>
        <v>990.59043346211195</v>
      </c>
      <c r="O31" s="27">
        <f>L31*E31*1000/COS(G31*3.14/180)-J31*E31*L2*1000/COS(3.14*G2/180)</f>
        <v>-76.729446192622802</v>
      </c>
      <c r="P31" s="28">
        <f t="shared" si="3"/>
        <v>749.99999999999989</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activeCell="W30" sqref="W30"/>
    </sheetView>
  </sheetViews>
  <sheetFormatPr defaultRowHeight="15" x14ac:dyDescent="0.25"/>
  <sheetData>
    <row r="1" spans="1:16" ht="15.75" thickBot="1" x14ac:dyDescent="0.3">
      <c r="A1">
        <v>8</v>
      </c>
      <c r="D1" t="s">
        <v>0</v>
      </c>
      <c r="E1" t="s">
        <v>1</v>
      </c>
      <c r="F1" t="s">
        <v>2</v>
      </c>
      <c r="G1" t="s">
        <v>5</v>
      </c>
      <c r="J1" t="s">
        <v>10</v>
      </c>
      <c r="K1" t="s">
        <v>9</v>
      </c>
      <c r="N1" s="6" t="s">
        <v>6</v>
      </c>
      <c r="O1" s="6" t="s">
        <v>7</v>
      </c>
      <c r="P1" s="6" t="s">
        <v>8</v>
      </c>
    </row>
    <row r="2" spans="1:16" x14ac:dyDescent="0.25">
      <c r="A2">
        <f>'Airfoil Interpolation'!AG4</f>
        <v>1</v>
      </c>
      <c r="B2">
        <f>'Airfoil Interpolation'!AH4</f>
        <v>6.7083333333333318E-4</v>
      </c>
      <c r="D2" s="4">
        <f>'Loft Viewer'!I5</f>
        <v>0.87499999999999989</v>
      </c>
      <c r="E2" s="4">
        <f>'Loft Viewer'!I6</f>
        <v>0.63932291666666685</v>
      </c>
      <c r="F2" s="4">
        <f>'Loft Viewer'!I7</f>
        <v>0.38281249999999989</v>
      </c>
      <c r="G2" s="4">
        <f>-'Loft Viewer'!I8</f>
        <v>-5.1073125809029669</v>
      </c>
      <c r="J2">
        <f>'Loft Viewer'!B2</f>
        <v>0</v>
      </c>
      <c r="K2" s="1">
        <f>((A2)*COS(3.14*G2/180)-B2*SIN(3.14*G2/180))</f>
        <v>0.99609342203453755</v>
      </c>
      <c r="L2" s="1">
        <f>((A2)*SIN(3.14*G2/180)+B2*COS(3.14*G2/180))/COS(3.14*G2/180)</f>
        <v>-8.8659885005964112E-2</v>
      </c>
      <c r="N2" s="22">
        <f>K2*E2*1000/COS(G2*3.14/180)+F2*1000</f>
        <v>1022.1737287468287</v>
      </c>
      <c r="O2" s="23">
        <f>L2*E2*1000/COS(G2*3.14/180)-J2*E2*L2*1000/COS(3.14*G2/180)</f>
        <v>-56.908008590383282</v>
      </c>
      <c r="P2" s="24">
        <f>D2*1000</f>
        <v>874.99999999999989</v>
      </c>
    </row>
    <row r="3" spans="1:16" x14ac:dyDescent="0.25">
      <c r="A3">
        <f>'Airfoil Interpolation'!AG5</f>
        <v>0.95530916666666665</v>
      </c>
      <c r="B3">
        <f>'Airfoil Interpolation'!AH5</f>
        <v>5.7266666666666672E-3</v>
      </c>
      <c r="D3">
        <f>D2</f>
        <v>0.87499999999999989</v>
      </c>
      <c r="E3">
        <f>E2</f>
        <v>0.63932291666666685</v>
      </c>
      <c r="F3">
        <f>F2</f>
        <v>0.38281249999999989</v>
      </c>
      <c r="G3">
        <f>G2</f>
        <v>-5.1073125809029669</v>
      </c>
      <c r="J3">
        <f>J2</f>
        <v>0</v>
      </c>
      <c r="K3" s="1">
        <f t="shared" ref="K3:K31" si="0">((A3)*COS(3.14*G3/180)-B3*SIN(3.14*G3/180))</f>
        <v>0.95202969434176443</v>
      </c>
      <c r="L3" s="1">
        <f t="shared" ref="L3:L31" si="1">((A3)*SIN(3.14*G3/180)+B3*COS(3.14*G3/180))/COS(3.14*G3/180)</f>
        <v>-7.9611787427782299E-2</v>
      </c>
      <c r="N3" s="25">
        <f t="shared" ref="N3:N31" si="2">K3*E3*1000/COS(G3*3.14/180)+F3*1000</f>
        <v>993.89059941617404</v>
      </c>
      <c r="O3" s="19">
        <f>L3*E3*1000/COS(G3*3.14/180)-J3*E3*L2*1000/COS(3.14*G2/180)</f>
        <v>-51.100317607351229</v>
      </c>
      <c r="P3" s="20">
        <f t="shared" ref="P3:P31" si="3">D3*1000</f>
        <v>874.99999999999989</v>
      </c>
    </row>
    <row r="4" spans="1:16" x14ac:dyDescent="0.25">
      <c r="A4">
        <f>'Airfoil Interpolation'!AG6</f>
        <v>0.86971749999999992</v>
      </c>
      <c r="B4">
        <f>'Airfoil Interpolation'!AH6</f>
        <v>1.5458333333333334E-2</v>
      </c>
      <c r="D4">
        <f t="shared" ref="D4:G19" si="4">D3</f>
        <v>0.87499999999999989</v>
      </c>
      <c r="E4">
        <f t="shared" si="4"/>
        <v>0.63932291666666685</v>
      </c>
      <c r="F4">
        <f t="shared" si="4"/>
        <v>0.38281249999999989</v>
      </c>
      <c r="G4">
        <f t="shared" si="4"/>
        <v>-5.1073125809029669</v>
      </c>
      <c r="J4">
        <f t="shared" ref="J4:J31" si="5">J3</f>
        <v>0</v>
      </c>
      <c r="K4" s="1">
        <f t="shared" si="0"/>
        <v>0.86764339577152672</v>
      </c>
      <c r="L4" s="1">
        <f t="shared" si="1"/>
        <v>-6.2234155693924584E-2</v>
      </c>
      <c r="N4" s="25">
        <f t="shared" si="2"/>
        <v>939.72567236238081</v>
      </c>
      <c r="O4" s="19">
        <f>L4*E4*1000/COS(G4*3.14/180)-J4*E4*L2*1000/COS(3.14*G2/180)</f>
        <v>-39.946159039196445</v>
      </c>
      <c r="P4" s="20">
        <f t="shared" si="3"/>
        <v>874.99999999999989</v>
      </c>
    </row>
    <row r="5" spans="1:16" x14ac:dyDescent="0.25">
      <c r="A5">
        <f>'Airfoil Interpolation'!AG7</f>
        <v>0.7829666666666667</v>
      </c>
      <c r="B5">
        <f>'Airfoil Interpolation'!AH7</f>
        <v>2.5529166666666665E-2</v>
      </c>
      <c r="D5">
        <f t="shared" si="4"/>
        <v>0.87499999999999989</v>
      </c>
      <c r="E5">
        <f t="shared" si="4"/>
        <v>0.63932291666666685</v>
      </c>
      <c r="F5">
        <f t="shared" si="4"/>
        <v>0.38281249999999989</v>
      </c>
      <c r="G5">
        <f t="shared" si="4"/>
        <v>-5.1073125809029669</v>
      </c>
      <c r="J5">
        <f t="shared" si="5"/>
        <v>0</v>
      </c>
      <c r="K5" s="1">
        <f t="shared" si="0"/>
        <v>0.78213270593034179</v>
      </c>
      <c r="L5" s="1">
        <f t="shared" si="1"/>
        <v>-4.441380810239192E-2</v>
      </c>
      <c r="N5" s="25">
        <f t="shared" si="2"/>
        <v>884.83903370134044</v>
      </c>
      <c r="O5" s="19">
        <f>L5*E5*1000/COS(G5*3.14/180)-J5*E5*L2*1000/COS(3.14*G2/180)</f>
        <v>-28.507835001731959</v>
      </c>
      <c r="P5" s="20">
        <f t="shared" si="3"/>
        <v>874.99999999999989</v>
      </c>
    </row>
    <row r="6" spans="1:16" x14ac:dyDescent="0.25">
      <c r="A6">
        <f>'Airfoil Interpolation'!AG8</f>
        <v>0.69618416666666671</v>
      </c>
      <c r="B6">
        <f>'Airfoil Interpolation'!AH8</f>
        <v>3.5770833333333335E-2</v>
      </c>
      <c r="D6">
        <f t="shared" si="4"/>
        <v>0.87499999999999989</v>
      </c>
      <c r="E6">
        <f t="shared" si="4"/>
        <v>0.63932291666666685</v>
      </c>
      <c r="F6">
        <f t="shared" si="4"/>
        <v>0.38281249999999989</v>
      </c>
      <c r="G6">
        <f t="shared" si="4"/>
        <v>-5.1073125809029669</v>
      </c>
      <c r="J6">
        <f t="shared" si="5"/>
        <v>0</v>
      </c>
      <c r="K6" s="1">
        <f t="shared" si="0"/>
        <v>0.69660567515744709</v>
      </c>
      <c r="L6" s="1">
        <f t="shared" si="1"/>
        <v>-2.6419798371445178E-2</v>
      </c>
      <c r="N6" s="25">
        <f t="shared" si="2"/>
        <v>829.94190630706908</v>
      </c>
      <c r="O6" s="19">
        <f>L6*E6*1000/COS(G6*3.14/180)-J6*E6*L2*1000/COS(3.14*G2/180)</f>
        <v>-16.958042665826341</v>
      </c>
      <c r="P6" s="20">
        <f t="shared" si="3"/>
        <v>874.99999999999989</v>
      </c>
    </row>
    <row r="7" spans="1:16" x14ac:dyDescent="0.25">
      <c r="A7">
        <f>'Airfoil Interpolation'!AG9</f>
        <v>0.60949416666666667</v>
      </c>
      <c r="B7">
        <f>'Airfoil Interpolation'!AH9</f>
        <v>4.6178333333333335E-2</v>
      </c>
      <c r="D7">
        <f t="shared" si="4"/>
        <v>0.87499999999999989</v>
      </c>
      <c r="E7">
        <f t="shared" si="4"/>
        <v>0.63932291666666685</v>
      </c>
      <c r="F7">
        <f t="shared" si="4"/>
        <v>0.38281249999999989</v>
      </c>
      <c r="G7">
        <f t="shared" si="4"/>
        <v>-5.1073125809029669</v>
      </c>
      <c r="J7">
        <f t="shared" si="5"/>
        <v>0</v>
      </c>
      <c r="K7" s="1">
        <f t="shared" si="0"/>
        <v>0.61118553275939846</v>
      </c>
      <c r="L7" s="1">
        <f t="shared" si="1"/>
        <v>-8.2682183986114779E-3</v>
      </c>
      <c r="N7" s="25">
        <f t="shared" si="2"/>
        <v>775.11338721917582</v>
      </c>
      <c r="O7" s="19">
        <f>L7*E7*1000/COS(G7*3.14/180)-J7*E7*L2*1000/COS(3.14*G2/180)</f>
        <v>-5.3071109174537607</v>
      </c>
      <c r="P7" s="20">
        <f t="shared" si="3"/>
        <v>874.99999999999989</v>
      </c>
    </row>
    <row r="8" spans="1:16" x14ac:dyDescent="0.25">
      <c r="A8">
        <f>'Airfoil Interpolation'!AG10</f>
        <v>0.52294416666666677</v>
      </c>
      <c r="B8">
        <f>'Airfoil Interpolation'!AH10</f>
        <v>5.6036666666666672E-2</v>
      </c>
      <c r="D8">
        <f t="shared" si="4"/>
        <v>0.87499999999999989</v>
      </c>
      <c r="E8">
        <f t="shared" si="4"/>
        <v>0.63932291666666685</v>
      </c>
      <c r="F8">
        <f t="shared" si="4"/>
        <v>0.38281249999999989</v>
      </c>
      <c r="G8">
        <f t="shared" si="4"/>
        <v>-5.1073125809029669</v>
      </c>
      <c r="J8">
        <f t="shared" si="5"/>
        <v>0</v>
      </c>
      <c r="K8" s="1">
        <f t="shared" si="0"/>
        <v>0.52585597220616787</v>
      </c>
      <c r="L8" s="1">
        <f t="shared" si="1"/>
        <v>9.3216886069880447E-3</v>
      </c>
      <c r="N8" s="25">
        <f t="shared" si="2"/>
        <v>720.34300978579404</v>
      </c>
      <c r="O8" s="19">
        <f>L8*E8*1000/COS(G8*3.14/180)-J8*E8*L2*1000/COS(3.14*G2/180)</f>
        <v>5.9833005116989346</v>
      </c>
      <c r="P8" s="20">
        <f t="shared" si="3"/>
        <v>874.99999999999989</v>
      </c>
    </row>
    <row r="9" spans="1:16" x14ac:dyDescent="0.25">
      <c r="A9">
        <f>'Airfoil Interpolation'!AG11</f>
        <v>0.43669750000000002</v>
      </c>
      <c r="B9">
        <f>'Airfoil Interpolation'!AH11</f>
        <v>6.3895000000000007E-2</v>
      </c>
      <c r="D9">
        <f t="shared" si="4"/>
        <v>0.87499999999999989</v>
      </c>
      <c r="E9">
        <f t="shared" si="4"/>
        <v>0.63932291666666685</v>
      </c>
      <c r="F9">
        <f t="shared" si="4"/>
        <v>0.38281249999999989</v>
      </c>
      <c r="G9">
        <f t="shared" si="4"/>
        <v>-5.1073125809029669</v>
      </c>
      <c r="J9">
        <f t="shared" si="5"/>
        <v>0</v>
      </c>
      <c r="K9" s="1">
        <f t="shared" si="0"/>
        <v>0.44065058906764881</v>
      </c>
      <c r="L9" s="1">
        <f t="shared" si="1"/>
        <v>2.4884498628024665E-2</v>
      </c>
      <c r="N9" s="25">
        <f t="shared" si="2"/>
        <v>665.65233795300787</v>
      </c>
      <c r="O9" s="19">
        <f>L9*E9*1000/COS(G9*3.14/180)-J9*E9*L2*1000/COS(3.14*G2/180)</f>
        <v>15.972581755500208</v>
      </c>
      <c r="P9" s="20">
        <f t="shared" si="3"/>
        <v>874.99999999999989</v>
      </c>
    </row>
    <row r="10" spans="1:16" x14ac:dyDescent="0.25">
      <c r="A10">
        <f>'Airfoil Interpolation'!AG12</f>
        <v>0.35069583333333332</v>
      </c>
      <c r="B10">
        <f>'Airfoil Interpolation'!AH12</f>
        <v>6.8950000000000011E-2</v>
      </c>
      <c r="D10">
        <f t="shared" si="4"/>
        <v>0.87499999999999989</v>
      </c>
      <c r="E10">
        <f t="shared" si="4"/>
        <v>0.63932291666666685</v>
      </c>
      <c r="F10">
        <f t="shared" si="4"/>
        <v>0.38281249999999989</v>
      </c>
      <c r="G10">
        <f t="shared" si="4"/>
        <v>-5.1073125809029669</v>
      </c>
      <c r="J10">
        <f t="shared" si="5"/>
        <v>0</v>
      </c>
      <c r="K10" s="1">
        <f t="shared" si="0"/>
        <v>0.35543980366087619</v>
      </c>
      <c r="L10" s="1">
        <f t="shared" si="1"/>
        <v>3.7622089289734817E-2</v>
      </c>
      <c r="N10" s="25">
        <f t="shared" si="2"/>
        <v>610.95819857310994</v>
      </c>
      <c r="O10" s="19">
        <f>L10*E10*1000/COS(G10*3.14/180)-J10*E10*L2*1000/COS(3.14*G2/180)</f>
        <v>24.148443011677401</v>
      </c>
      <c r="P10" s="20">
        <f t="shared" si="3"/>
        <v>874.99999999999989</v>
      </c>
    </row>
    <row r="11" spans="1:16" x14ac:dyDescent="0.25">
      <c r="A11">
        <f>'Airfoil Interpolation'!AG13</f>
        <v>0.26545666666666667</v>
      </c>
      <c r="B11">
        <f>'Airfoil Interpolation'!AH13</f>
        <v>6.9725833333333348E-2</v>
      </c>
      <c r="D11">
        <f t="shared" si="4"/>
        <v>0.87499999999999989</v>
      </c>
      <c r="E11">
        <f t="shared" si="4"/>
        <v>0.63932291666666685</v>
      </c>
      <c r="F11">
        <f t="shared" si="4"/>
        <v>0.38281249999999989</v>
      </c>
      <c r="G11">
        <f t="shared" si="4"/>
        <v>-5.1073125809029669</v>
      </c>
      <c r="J11">
        <f t="shared" si="5"/>
        <v>0</v>
      </c>
      <c r="K11" s="1">
        <f t="shared" si="0"/>
        <v>0.27060774909287033</v>
      </c>
      <c r="L11" s="1">
        <f t="shared" si="1"/>
        <v>4.6012398612044578E-2</v>
      </c>
      <c r="N11" s="25">
        <f t="shared" si="2"/>
        <v>556.50715467911903</v>
      </c>
      <c r="O11" s="19">
        <f>L11*E11*1000/COS(G11*3.14/180)-J11*E11*L2*1000/COS(3.14*G2/180)</f>
        <v>29.533920276371092</v>
      </c>
      <c r="P11" s="20">
        <f t="shared" si="3"/>
        <v>874.99999999999989</v>
      </c>
    </row>
    <row r="12" spans="1:16" x14ac:dyDescent="0.25">
      <c r="A12">
        <f>'Airfoil Interpolation'!AG14</f>
        <v>0.18129166666666666</v>
      </c>
      <c r="B12">
        <f>'Airfoil Interpolation'!AH14</f>
        <v>6.5560000000000007E-2</v>
      </c>
      <c r="D12">
        <f t="shared" si="4"/>
        <v>0.87499999999999989</v>
      </c>
      <c r="E12">
        <f t="shared" si="4"/>
        <v>0.63932291666666685</v>
      </c>
      <c r="F12">
        <f t="shared" si="4"/>
        <v>0.38281249999999989</v>
      </c>
      <c r="G12">
        <f t="shared" si="4"/>
        <v>-5.1073125809029669</v>
      </c>
      <c r="J12">
        <f t="shared" si="5"/>
        <v>0</v>
      </c>
      <c r="K12" s="1">
        <f t="shared" si="0"/>
        <v>0.18640590900638895</v>
      </c>
      <c r="L12" s="1">
        <f t="shared" si="1"/>
        <v>4.9365085187738203E-2</v>
      </c>
      <c r="N12" s="25">
        <f t="shared" si="2"/>
        <v>502.46062575969597</v>
      </c>
      <c r="O12" s="19">
        <f>L12*E12*1000/COS(G12*3.14/180)-J12*E12*L2*1000/COS(3.14*G2/180)</f>
        <v>31.685904981038831</v>
      </c>
      <c r="P12" s="20">
        <f t="shared" si="3"/>
        <v>874.99999999999989</v>
      </c>
    </row>
    <row r="13" spans="1:16" x14ac:dyDescent="0.25">
      <c r="A13">
        <f>'Airfoil Interpolation'!AG15</f>
        <v>0.10133333333333333</v>
      </c>
      <c r="B13">
        <f>'Airfoil Interpolation'!AH15</f>
        <v>5.3810833333333336E-2</v>
      </c>
      <c r="D13">
        <f t="shared" si="4"/>
        <v>0.87499999999999989</v>
      </c>
      <c r="E13">
        <f t="shared" si="4"/>
        <v>0.63932291666666685</v>
      </c>
      <c r="F13">
        <f t="shared" si="4"/>
        <v>0.38281249999999989</v>
      </c>
      <c r="G13">
        <f t="shared" si="4"/>
        <v>-5.1073125809029669</v>
      </c>
      <c r="J13">
        <f t="shared" si="5"/>
        <v>0</v>
      </c>
      <c r="K13" s="1">
        <f t="shared" si="0"/>
        <v>0.10571931305866077</v>
      </c>
      <c r="L13" s="1">
        <f t="shared" si="1"/>
        <v>4.4758653874951197E-2</v>
      </c>
      <c r="N13" s="25">
        <f t="shared" si="2"/>
        <v>450.67042216295977</v>
      </c>
      <c r="O13" s="19">
        <f>L13*E13*1000/COS(G13*3.14/180)-J13*E13*L2*1000/COS(3.14*G2/180)</f>
        <v>28.729180722920752</v>
      </c>
      <c r="P13" s="20">
        <f t="shared" si="3"/>
        <v>874.99999999999989</v>
      </c>
    </row>
    <row r="14" spans="1:16" x14ac:dyDescent="0.25">
      <c r="A14">
        <f>'Airfoil Interpolation'!AG16</f>
        <v>3.8652499999999999E-2</v>
      </c>
      <c r="B14">
        <f>'Airfoil Interpolation'!AH16</f>
        <v>3.4954166666666675E-2</v>
      </c>
      <c r="D14">
        <f t="shared" si="4"/>
        <v>0.87499999999999989</v>
      </c>
      <c r="E14">
        <f t="shared" si="4"/>
        <v>0.63932291666666685</v>
      </c>
      <c r="F14">
        <f t="shared" si="4"/>
        <v>0.38281249999999989</v>
      </c>
      <c r="G14">
        <f t="shared" si="4"/>
        <v>-5.1073125809029669</v>
      </c>
      <c r="J14">
        <f t="shared" si="5"/>
        <v>0</v>
      </c>
      <c r="K14" s="1">
        <f t="shared" si="0"/>
        <v>4.1609290118416797E-2</v>
      </c>
      <c r="L14" s="1">
        <f t="shared" si="1"/>
        <v>3.1501311076056984E-2</v>
      </c>
      <c r="N14" s="25">
        <f t="shared" si="2"/>
        <v>409.52020257980053</v>
      </c>
      <c r="O14" s="19">
        <f>L14*E14*1000/COS(G14*3.14/180)-J14*E14*L2*1000/COS(3.14*G2/180)</f>
        <v>20.219706817846586</v>
      </c>
      <c r="P14" s="20">
        <f t="shared" si="3"/>
        <v>874.99999999999989</v>
      </c>
    </row>
    <row r="15" spans="1:16" x14ac:dyDescent="0.25">
      <c r="A15">
        <f>'Airfoil Interpolation'!AG17</f>
        <v>1.0890833333333334E-2</v>
      </c>
      <c r="B15">
        <f>'Airfoil Interpolation'!AH17</f>
        <v>1.8130833333333336E-2</v>
      </c>
      <c r="D15">
        <f t="shared" si="4"/>
        <v>0.87499999999999989</v>
      </c>
      <c r="E15">
        <f t="shared" si="4"/>
        <v>0.63932291666666685</v>
      </c>
      <c r="F15">
        <f t="shared" si="4"/>
        <v>0.38281249999999989</v>
      </c>
      <c r="G15">
        <f t="shared" si="4"/>
        <v>-5.1073125809029669</v>
      </c>
      <c r="J15">
        <f t="shared" si="5"/>
        <v>0</v>
      </c>
      <c r="K15" s="1">
        <f t="shared" si="0"/>
        <v>1.2460853828779688E-2</v>
      </c>
      <c r="L15" s="1">
        <f t="shared" si="1"/>
        <v>1.7157947368353105E-2</v>
      </c>
      <c r="N15" s="25">
        <f t="shared" si="2"/>
        <v>390.81073253418378</v>
      </c>
      <c r="O15" s="19">
        <f>L15*E15*1000/COS(G15*3.14/180)-J15*E15*L2*1000/COS(3.14*G2/180)</f>
        <v>11.013150041486057</v>
      </c>
      <c r="P15" s="20">
        <f t="shared" si="3"/>
        <v>874.99999999999989</v>
      </c>
    </row>
    <row r="16" spans="1:16" x14ac:dyDescent="0.25">
      <c r="A16">
        <f>'Airfoil Interpolation'!AG18</f>
        <v>1.1949999999999999E-3</v>
      </c>
      <c r="B16">
        <f>'Airfoil Interpolation'!AH18</f>
        <v>6.4083333333333336E-3</v>
      </c>
      <c r="D16">
        <f t="shared" si="4"/>
        <v>0.87499999999999989</v>
      </c>
      <c r="E16">
        <f t="shared" si="4"/>
        <v>0.63932291666666685</v>
      </c>
      <c r="F16">
        <f t="shared" si="4"/>
        <v>0.38281249999999989</v>
      </c>
      <c r="G16">
        <f t="shared" si="4"/>
        <v>-5.1073125809029669</v>
      </c>
      <c r="J16">
        <f t="shared" si="5"/>
        <v>0</v>
      </c>
      <c r="K16" s="1">
        <f t="shared" si="0"/>
        <v>1.7604507989326503E-3</v>
      </c>
      <c r="L16" s="1">
        <f t="shared" si="1"/>
        <v>6.3015831249178724E-3</v>
      </c>
      <c r="N16" s="25">
        <f t="shared" si="2"/>
        <v>383.94247833441648</v>
      </c>
      <c r="O16" s="19">
        <f>L16*E16*1000/COS(G16*3.14/180)-J16*E16*L2*1000/COS(3.14*G2/180)</f>
        <v>4.0447892142169719</v>
      </c>
      <c r="P16" s="20">
        <f t="shared" si="3"/>
        <v>874.99999999999989</v>
      </c>
    </row>
    <row r="17" spans="1:16" x14ac:dyDescent="0.25">
      <c r="A17">
        <f>'Airfoil Interpolation'!AG19</f>
        <v>7.8666666666666653E-4</v>
      </c>
      <c r="B17">
        <f>'Airfoil Interpolation'!AH19</f>
        <v>-3.4999999999999996E-3</v>
      </c>
      <c r="D17">
        <f t="shared" si="4"/>
        <v>0.87499999999999989</v>
      </c>
      <c r="E17">
        <f t="shared" si="4"/>
        <v>0.63932291666666685</v>
      </c>
      <c r="F17">
        <f t="shared" si="4"/>
        <v>0.38281249999999989</v>
      </c>
      <c r="G17">
        <f t="shared" si="4"/>
        <v>-5.1073125809029669</v>
      </c>
      <c r="J17">
        <f t="shared" si="5"/>
        <v>0</v>
      </c>
      <c r="K17" s="1">
        <f t="shared" si="0"/>
        <v>4.7212910594870012E-4</v>
      </c>
      <c r="L17" s="1">
        <f t="shared" si="1"/>
        <v>-3.5702734984269131E-3</v>
      </c>
      <c r="N17" s="25">
        <f t="shared" si="2"/>
        <v>383.11554491388955</v>
      </c>
      <c r="O17" s="19">
        <f>L17*E17*1000/COS(G17*3.14/180)-J17*E17*L2*1000/COS(3.14*G2/180)</f>
        <v>-2.2916469483896682</v>
      </c>
      <c r="P17" s="20">
        <f t="shared" si="3"/>
        <v>874.99999999999989</v>
      </c>
    </row>
    <row r="18" spans="1:16" x14ac:dyDescent="0.25">
      <c r="A18">
        <f>'Airfoil Interpolation'!AG20</f>
        <v>9.4741666666666672E-3</v>
      </c>
      <c r="B18">
        <f>'Airfoil Interpolation'!AH20</f>
        <v>-1.3922500000000001E-2</v>
      </c>
      <c r="D18">
        <f t="shared" si="4"/>
        <v>0.87499999999999989</v>
      </c>
      <c r="E18">
        <f t="shared" si="4"/>
        <v>0.63932291666666685</v>
      </c>
      <c r="F18">
        <f t="shared" si="4"/>
        <v>0.38281249999999989</v>
      </c>
      <c r="G18">
        <f t="shared" si="4"/>
        <v>-5.1073125809029669</v>
      </c>
      <c r="J18">
        <f t="shared" si="5"/>
        <v>0</v>
      </c>
      <c r="K18" s="1">
        <f t="shared" si="0"/>
        <v>8.1978155454321376E-3</v>
      </c>
      <c r="L18" s="1">
        <f t="shared" si="1"/>
        <v>-1.4768834113999561E-2</v>
      </c>
      <c r="N18" s="25">
        <f t="shared" si="2"/>
        <v>388.07442152686008</v>
      </c>
      <c r="O18" s="19">
        <f>L18*E18*1000/COS(G18*3.14/180)-J18*E18*L2*1000/COS(3.14*G2/180)</f>
        <v>-9.4796529295396113</v>
      </c>
      <c r="P18" s="20">
        <f t="shared" si="3"/>
        <v>874.99999999999989</v>
      </c>
    </row>
    <row r="19" spans="1:16" x14ac:dyDescent="0.25">
      <c r="A19">
        <f>'Airfoil Interpolation'!AG21</f>
        <v>3.4606666666666668E-2</v>
      </c>
      <c r="B19">
        <f>'Airfoil Interpolation'!AH21</f>
        <v>-2.5683333333333332E-2</v>
      </c>
      <c r="D19">
        <f t="shared" si="4"/>
        <v>0.87499999999999989</v>
      </c>
      <c r="E19">
        <f t="shared" si="4"/>
        <v>0.63932291666666685</v>
      </c>
      <c r="F19">
        <f t="shared" si="4"/>
        <v>0.38281249999999989</v>
      </c>
      <c r="G19">
        <f t="shared" si="4"/>
        <v>-5.1073125809029669</v>
      </c>
      <c r="J19">
        <f t="shared" si="5"/>
        <v>0</v>
      </c>
      <c r="K19" s="1">
        <f t="shared" si="0"/>
        <v>3.2184196641566756E-2</v>
      </c>
      <c r="L19" s="1">
        <f t="shared" si="1"/>
        <v>-2.8774771725995286E-2</v>
      </c>
      <c r="N19" s="25">
        <f t="shared" si="2"/>
        <v>403.4705297146748</v>
      </c>
      <c r="O19" s="19">
        <f>L19*E19*1000/COS(G19*3.14/180)-J19*E19*L2*1000/COS(3.14*G2/180)</f>
        <v>-18.469626443335706</v>
      </c>
      <c r="P19" s="20">
        <f t="shared" si="3"/>
        <v>874.99999999999989</v>
      </c>
    </row>
    <row r="20" spans="1:16" x14ac:dyDescent="0.25">
      <c r="A20">
        <f>'Airfoil Interpolation'!AG22</f>
        <v>9.5208333333333339E-2</v>
      </c>
      <c r="B20">
        <f>'Airfoil Interpolation'!AH22</f>
        <v>-3.9844166666666667E-2</v>
      </c>
      <c r="D20">
        <f t="shared" ref="D20:G31" si="6">D19</f>
        <v>0.87499999999999989</v>
      </c>
      <c r="E20">
        <f t="shared" si="6"/>
        <v>0.63932291666666685</v>
      </c>
      <c r="F20">
        <f t="shared" si="6"/>
        <v>0.38281249999999989</v>
      </c>
      <c r="G20">
        <f t="shared" si="6"/>
        <v>-5.1073125809029669</v>
      </c>
      <c r="J20">
        <f t="shared" si="5"/>
        <v>0</v>
      </c>
      <c r="K20" s="1">
        <f t="shared" si="0"/>
        <v>9.128552086228986E-2</v>
      </c>
      <c r="L20" s="1">
        <f t="shared" si="1"/>
        <v>-4.834919547522061E-2</v>
      </c>
      <c r="N20" s="25">
        <f t="shared" si="2"/>
        <v>441.40582216660709</v>
      </c>
      <c r="O20" s="19">
        <f>L20*E20*1000/COS(G20*3.14/180)-J20*E20*L2*1000/COS(3.14*G2/180)</f>
        <v>-31.033837132282386</v>
      </c>
      <c r="P20" s="20">
        <f t="shared" si="3"/>
        <v>874.99999999999989</v>
      </c>
    </row>
    <row r="21" spans="1:16" x14ac:dyDescent="0.25">
      <c r="A21">
        <f>'Airfoil Interpolation'!AG23</f>
        <v>0.17642916666666666</v>
      </c>
      <c r="B21">
        <f>'Airfoil Interpolation'!AH23</f>
        <v>-4.7655833333333335E-2</v>
      </c>
      <c r="D21">
        <f t="shared" si="6"/>
        <v>0.87499999999999989</v>
      </c>
      <c r="E21">
        <f t="shared" si="6"/>
        <v>0.63932291666666685</v>
      </c>
      <c r="F21">
        <f t="shared" si="6"/>
        <v>0.38281249999999989</v>
      </c>
      <c r="G21">
        <f t="shared" si="6"/>
        <v>-5.1073125809029669</v>
      </c>
      <c r="J21">
        <f t="shared" si="5"/>
        <v>0</v>
      </c>
      <c r="K21" s="1">
        <f t="shared" si="0"/>
        <v>0.17148915669330364</v>
      </c>
      <c r="L21" s="1">
        <f t="shared" si="1"/>
        <v>-6.3416377527670306E-2</v>
      </c>
      <c r="N21" s="25">
        <f t="shared" si="2"/>
        <v>492.88602876223115</v>
      </c>
      <c r="O21" s="19">
        <f>L21*E21*1000/COS(G21*3.14/180)-J21*E21*L2*1000/COS(3.14*G2/180)</f>
        <v>-40.704990276864031</v>
      </c>
      <c r="P21" s="20">
        <f t="shared" si="3"/>
        <v>874.99999999999989</v>
      </c>
    </row>
    <row r="22" spans="1:16" x14ac:dyDescent="0.25">
      <c r="A22">
        <f>'Airfoil Interpolation'!AG24</f>
        <v>0.26143166666666667</v>
      </c>
      <c r="B22">
        <f>'Airfoil Interpolation'!AH24</f>
        <v>-5.0471666666666672E-2</v>
      </c>
      <c r="D22">
        <f t="shared" si="6"/>
        <v>0.87499999999999989</v>
      </c>
      <c r="E22">
        <f t="shared" si="6"/>
        <v>0.63932291666666685</v>
      </c>
      <c r="F22">
        <f t="shared" si="6"/>
        <v>0.38281249999999989</v>
      </c>
      <c r="G22">
        <f t="shared" si="6"/>
        <v>-5.1073125809029669</v>
      </c>
      <c r="J22">
        <f t="shared" si="5"/>
        <v>0</v>
      </c>
      <c r="K22" s="1">
        <f t="shared" si="0"/>
        <v>0.25590397140346977</v>
      </c>
      <c r="L22" s="1">
        <f t="shared" si="1"/>
        <v>-7.382554524663977E-2</v>
      </c>
      <c r="N22" s="25">
        <f t="shared" si="2"/>
        <v>547.06925943480189</v>
      </c>
      <c r="O22" s="19">
        <f>L22*E22*1000/COS(G22*3.14/180)-J22*E22*L2*1000/COS(3.14*G2/180)</f>
        <v>-47.386309634880412</v>
      </c>
      <c r="P22" s="20">
        <f t="shared" si="3"/>
        <v>874.99999999999989</v>
      </c>
    </row>
    <row r="23" spans="1:16" x14ac:dyDescent="0.25">
      <c r="A23">
        <f>'Airfoil Interpolation'!AG25</f>
        <v>0.34749999999999998</v>
      </c>
      <c r="B23">
        <f>'Airfoil Interpolation'!AH25</f>
        <v>-5.0358333333333331E-2</v>
      </c>
      <c r="D23">
        <f t="shared" si="6"/>
        <v>0.87499999999999989</v>
      </c>
      <c r="E23">
        <f t="shared" si="6"/>
        <v>0.63932291666666685</v>
      </c>
      <c r="F23">
        <f t="shared" si="6"/>
        <v>0.38281249999999989</v>
      </c>
      <c r="G23">
        <f t="shared" si="6"/>
        <v>-5.1073125809029669</v>
      </c>
      <c r="J23">
        <f t="shared" si="5"/>
        <v>0</v>
      </c>
      <c r="K23" s="1">
        <f t="shared" si="0"/>
        <v>0.34164101879926212</v>
      </c>
      <c r="L23" s="1">
        <f t="shared" si="1"/>
        <v>-8.1400757956239189E-2</v>
      </c>
      <c r="N23" s="25">
        <f t="shared" si="2"/>
        <v>602.10118993398578</v>
      </c>
      <c r="O23" s="19">
        <f>L23*E23*1000/COS(G23*3.14/180)-J23*E23*L2*1000/COS(3.14*G2/180)</f>
        <v>-52.248601864594725</v>
      </c>
      <c r="P23" s="20">
        <f t="shared" si="3"/>
        <v>874.99999999999989</v>
      </c>
    </row>
    <row r="24" spans="1:16" x14ac:dyDescent="0.25">
      <c r="A24">
        <f>'Airfoil Interpolation'!AG26</f>
        <v>0.434085</v>
      </c>
      <c r="B24">
        <f>'Airfoil Interpolation'!AH26</f>
        <v>-4.7903333333333332E-2</v>
      </c>
      <c r="D24">
        <f t="shared" si="6"/>
        <v>0.87499999999999989</v>
      </c>
      <c r="E24">
        <f t="shared" si="6"/>
        <v>0.63932291666666685</v>
      </c>
      <c r="F24">
        <f t="shared" si="6"/>
        <v>0.38281249999999989</v>
      </c>
      <c r="G24">
        <f t="shared" si="6"/>
        <v>-5.1073125809029669</v>
      </c>
      <c r="J24">
        <f t="shared" si="5"/>
        <v>0</v>
      </c>
      <c r="K24" s="1">
        <f t="shared" si="0"/>
        <v>0.42810103671501953</v>
      </c>
      <c r="L24" s="1">
        <f t="shared" si="1"/>
        <v>-8.6680458203647254E-2</v>
      </c>
      <c r="N24" s="25">
        <f t="shared" si="2"/>
        <v>657.59717260916773</v>
      </c>
      <c r="O24" s="19">
        <f>L24*E24*1000/COS(G24*3.14/180)-J24*E24*L2*1000/COS(3.14*G2/180)</f>
        <v>-55.637476404798967</v>
      </c>
      <c r="P24" s="20">
        <f t="shared" si="3"/>
        <v>874.99999999999989</v>
      </c>
    </row>
    <row r="25" spans="1:16" x14ac:dyDescent="0.25">
      <c r="A25">
        <f>'Airfoil Interpolation'!AG27</f>
        <v>0.52108583333333336</v>
      </c>
      <c r="B25">
        <f>'Airfoil Interpolation'!AH27</f>
        <v>-4.3657500000000002E-2</v>
      </c>
      <c r="D25">
        <f t="shared" si="6"/>
        <v>0.87499999999999989</v>
      </c>
      <c r="E25">
        <f t="shared" si="6"/>
        <v>0.63932291666666685</v>
      </c>
      <c r="F25">
        <f t="shared" si="6"/>
        <v>0.38281249999999989</v>
      </c>
      <c r="G25">
        <f t="shared" si="6"/>
        <v>-5.1073125809029669</v>
      </c>
      <c r="J25">
        <f t="shared" si="5"/>
        <v>0</v>
      </c>
      <c r="K25" s="1">
        <f t="shared" si="0"/>
        <v>0.51513458057734729</v>
      </c>
      <c r="L25" s="1">
        <f t="shared" si="1"/>
        <v>-9.0206471808098099E-2</v>
      </c>
      <c r="N25" s="25">
        <f t="shared" si="2"/>
        <v>713.46128366046992</v>
      </c>
      <c r="O25" s="19">
        <f>L25*E25*1000/COS(G25*3.14/180)-J25*E25*L2*1000/COS(3.14*G2/180)</f>
        <v>-57.900714310853083</v>
      </c>
      <c r="P25" s="20">
        <f t="shared" si="3"/>
        <v>874.99999999999989</v>
      </c>
    </row>
    <row r="26" spans="1:16" x14ac:dyDescent="0.25">
      <c r="A26">
        <f>'Airfoil Interpolation'!AG28</f>
        <v>0.60824</v>
      </c>
      <c r="B26">
        <f>'Airfoil Interpolation'!AH28</f>
        <v>-3.8040833333333336E-2</v>
      </c>
      <c r="D26">
        <f t="shared" si="6"/>
        <v>0.87499999999999989</v>
      </c>
      <c r="E26">
        <f t="shared" si="6"/>
        <v>0.63932291666666685</v>
      </c>
      <c r="F26">
        <f t="shared" si="6"/>
        <v>0.38281249999999989</v>
      </c>
      <c r="G26">
        <f t="shared" si="6"/>
        <v>-5.1073125809029669</v>
      </c>
      <c r="J26">
        <f t="shared" si="5"/>
        <v>0</v>
      </c>
      <c r="K26" s="1">
        <f t="shared" si="0"/>
        <v>0.60244282143940375</v>
      </c>
      <c r="L26" s="1">
        <f t="shared" si="1"/>
        <v>-9.2375349456027614E-2</v>
      </c>
      <c r="N26" s="25">
        <f t="shared" si="2"/>
        <v>769.50171412860016</v>
      </c>
      <c r="O26" s="19">
        <f>L26*E26*1000/COS(G26*3.14/180)-J26*E26*L2*1000/COS(3.14*G2/180)</f>
        <v>-59.29284907181696</v>
      </c>
      <c r="P26" s="20">
        <f t="shared" si="3"/>
        <v>874.99999999999989</v>
      </c>
    </row>
    <row r="27" spans="1:16" x14ac:dyDescent="0.25">
      <c r="A27">
        <f>'Airfoil Interpolation'!AG29</f>
        <v>0.69541750000000002</v>
      </c>
      <c r="B27">
        <f>'Airfoil Interpolation'!AH29</f>
        <v>-3.1237500000000001E-2</v>
      </c>
      <c r="D27">
        <f t="shared" si="6"/>
        <v>0.87499999999999989</v>
      </c>
      <c r="E27">
        <f t="shared" si="6"/>
        <v>0.63932291666666685</v>
      </c>
      <c r="F27">
        <f t="shared" si="6"/>
        <v>0.38281249999999989</v>
      </c>
      <c r="G27">
        <f t="shared" si="6"/>
        <v>-5.1073125809029669</v>
      </c>
      <c r="J27">
        <f t="shared" si="5"/>
        <v>0</v>
      </c>
      <c r="K27" s="1">
        <f t="shared" si="0"/>
        <v>0.68987988842716619</v>
      </c>
      <c r="L27" s="1">
        <f t="shared" si="1"/>
        <v>-9.3359644820718388E-2</v>
      </c>
      <c r="N27" s="25">
        <f t="shared" si="2"/>
        <v>825.62483405959006</v>
      </c>
      <c r="O27" s="19">
        <f>L27*E27*1000/COS(G27*3.14/180)-J27*E27*L2*1000/COS(3.14*G2/180)</f>
        <v>-59.924637496373663</v>
      </c>
      <c r="P27" s="20">
        <f t="shared" si="3"/>
        <v>874.99999999999989</v>
      </c>
    </row>
    <row r="28" spans="1:16" x14ac:dyDescent="0.25">
      <c r="A28">
        <f>'Airfoil Interpolation'!AG30</f>
        <v>0.78255416666666666</v>
      </c>
      <c r="B28">
        <f>'Airfoil Interpolation'!AH30</f>
        <v>-2.3520833333333335E-2</v>
      </c>
      <c r="D28">
        <f t="shared" si="6"/>
        <v>0.87499999999999989</v>
      </c>
      <c r="E28">
        <f t="shared" si="6"/>
        <v>0.63932291666666685</v>
      </c>
      <c r="F28">
        <f t="shared" si="6"/>
        <v>0.38281249999999989</v>
      </c>
      <c r="G28">
        <f t="shared" si="6"/>
        <v>-5.1073125809029669</v>
      </c>
      <c r="J28">
        <f t="shared" si="5"/>
        <v>0</v>
      </c>
      <c r="K28" s="1">
        <f t="shared" si="0"/>
        <v>0.77735754915761723</v>
      </c>
      <c r="L28" s="1">
        <f t="shared" si="1"/>
        <v>-9.3426959181076977E-2</v>
      </c>
      <c r="N28" s="25">
        <f t="shared" si="2"/>
        <v>881.77400984501173</v>
      </c>
      <c r="O28" s="19">
        <f>L28*E28*1000/COS(G28*3.14/180)-J28*E28*L2*1000/COS(3.14*G2/180)</f>
        <v>-59.967844479974936</v>
      </c>
      <c r="P28" s="20">
        <f t="shared" si="3"/>
        <v>874.99999999999989</v>
      </c>
    </row>
    <row r="29" spans="1:16" x14ac:dyDescent="0.25">
      <c r="A29">
        <f>'Airfoil Interpolation'!AG31</f>
        <v>0.86960916666666666</v>
      </c>
      <c r="B29">
        <f>'Airfoil Interpolation'!AH31</f>
        <v>-1.485E-2</v>
      </c>
      <c r="D29">
        <f t="shared" si="6"/>
        <v>0.87499999999999989</v>
      </c>
      <c r="E29">
        <f t="shared" si="6"/>
        <v>0.63932291666666685</v>
      </c>
      <c r="F29">
        <f t="shared" si="6"/>
        <v>0.38281249999999989</v>
      </c>
      <c r="G29">
        <f t="shared" si="6"/>
        <v>-5.1073125809029669</v>
      </c>
      <c r="J29">
        <f t="shared" si="5"/>
        <v>0</v>
      </c>
      <c r="K29" s="1">
        <f t="shared" si="0"/>
        <v>0.86483876545666216</v>
      </c>
      <c r="L29" s="1">
        <f t="shared" si="1"/>
        <v>-9.2532811532771153E-2</v>
      </c>
      <c r="N29" s="25">
        <f t="shared" si="2"/>
        <v>937.92546783876321</v>
      </c>
      <c r="O29" s="19">
        <f>L29*E29*1000/COS(G29*3.14/180)-J29*E29*L2*1000/COS(3.14*G2/180)</f>
        <v>-59.393919056459715</v>
      </c>
      <c r="P29" s="20">
        <f t="shared" si="3"/>
        <v>874.99999999999989</v>
      </c>
    </row>
    <row r="30" spans="1:16" x14ac:dyDescent="0.25">
      <c r="A30">
        <f>'Airfoil Interpolation'!AG32</f>
        <v>0.95531333333333335</v>
      </c>
      <c r="B30">
        <f>'Airfoil Interpolation'!AH32</f>
        <v>-5.5599999999999998E-3</v>
      </c>
      <c r="D30">
        <f t="shared" si="6"/>
        <v>0.87499999999999989</v>
      </c>
      <c r="E30">
        <f t="shared" si="6"/>
        <v>0.63932291666666685</v>
      </c>
      <c r="F30">
        <f t="shared" si="6"/>
        <v>0.38281249999999989</v>
      </c>
      <c r="G30">
        <f t="shared" si="6"/>
        <v>-5.1073125809029669</v>
      </c>
      <c r="J30">
        <f t="shared" si="5"/>
        <v>0</v>
      </c>
      <c r="K30" s="1">
        <f t="shared" si="0"/>
        <v>0.95102959741363302</v>
      </c>
      <c r="L30" s="1">
        <f t="shared" si="1"/>
        <v>-9.0898826305775365E-2</v>
      </c>
      <c r="N30" s="25">
        <f t="shared" si="2"/>
        <v>993.24866846201712</v>
      </c>
      <c r="O30" s="19">
        <f>L30*E30*1000/COS(G30*3.14/180)-J30*E30*L2*1000/COS(3.14*G2/180)</f>
        <v>-58.345115019231599</v>
      </c>
      <c r="P30" s="20">
        <f t="shared" si="3"/>
        <v>874.99999999999989</v>
      </c>
    </row>
    <row r="31" spans="1:16" ht="15.75" thickBot="1" x14ac:dyDescent="0.3">
      <c r="A31">
        <f>'Airfoil Interpolation'!AG33</f>
        <v>1</v>
      </c>
      <c r="B31">
        <f>'Airfoil Interpolation'!AH33</f>
        <v>-5.5416666666666657E-4</v>
      </c>
      <c r="D31">
        <f t="shared" si="6"/>
        <v>0.87499999999999989</v>
      </c>
      <c r="E31">
        <f t="shared" si="6"/>
        <v>0.63932291666666685</v>
      </c>
      <c r="F31">
        <f t="shared" si="6"/>
        <v>0.38281249999999989</v>
      </c>
      <c r="G31">
        <f t="shared" si="6"/>
        <v>-5.1073125809029669</v>
      </c>
      <c r="J31">
        <f t="shared" si="5"/>
        <v>0</v>
      </c>
      <c r="K31" s="1">
        <f t="shared" si="0"/>
        <v>0.99598442593360936</v>
      </c>
      <c r="L31" s="1">
        <f t="shared" si="1"/>
        <v>-8.9884885005964102E-2</v>
      </c>
      <c r="N31" s="26">
        <f t="shared" si="2"/>
        <v>1022.1037675569678</v>
      </c>
      <c r="O31" s="27">
        <f>L31*E31*1000/COS(G31*3.14/180)-J31*E31*L2*1000/COS(3.14*G2/180)</f>
        <v>-57.694297795682054</v>
      </c>
      <c r="P31" s="28">
        <f t="shared" si="3"/>
        <v>874.99999999999989</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activeCell="V30" sqref="V30"/>
    </sheetView>
  </sheetViews>
  <sheetFormatPr defaultRowHeight="15" x14ac:dyDescent="0.25"/>
  <sheetData>
    <row r="1" spans="1:16" ht="15.75" thickBot="1" x14ac:dyDescent="0.3">
      <c r="A1">
        <v>9</v>
      </c>
      <c r="D1" t="s">
        <v>0</v>
      </c>
      <c r="E1" t="s">
        <v>1</v>
      </c>
      <c r="F1" t="s">
        <v>2</v>
      </c>
      <c r="G1" t="s">
        <v>5</v>
      </c>
      <c r="J1" t="s">
        <v>10</v>
      </c>
      <c r="K1" t="s">
        <v>9</v>
      </c>
      <c r="N1" s="6" t="s">
        <v>6</v>
      </c>
      <c r="O1" s="6" t="s">
        <v>7</v>
      </c>
      <c r="P1" s="6" t="s">
        <v>8</v>
      </c>
    </row>
    <row r="2" spans="1:16" x14ac:dyDescent="0.25">
      <c r="A2">
        <f>'Airfoil Interpolation'!AK4</f>
        <v>1</v>
      </c>
      <c r="B2">
        <f>'Airfoil Interpolation'!AL4</f>
        <v>7.4666666666666664E-4</v>
      </c>
      <c r="D2" s="4">
        <f>'Loft Viewer'!J5</f>
        <v>1</v>
      </c>
      <c r="E2" s="4">
        <f>'Loft Viewer'!J6</f>
        <v>0.55833333333333335</v>
      </c>
      <c r="F2" s="4">
        <f>'Loft Viewer'!J7</f>
        <v>0.5</v>
      </c>
      <c r="G2" s="4">
        <f>-'Loft Viewer'!J8</f>
        <v>-3.8907630269934983</v>
      </c>
      <c r="J2">
        <f>'Loft Viewer'!B2</f>
        <v>0</v>
      </c>
      <c r="K2" s="1">
        <f>((A2)*COS(3.14*G2/180)-B2*SIN(3.14*G2/180))</f>
        <v>0.99774820535461362</v>
      </c>
      <c r="L2" s="1">
        <f>((A2)*SIN(3.14*G2/180)+B2*COS(3.14*G2/180))/COS(3.14*G2/180)</f>
        <v>-6.7229946032880572E-2</v>
      </c>
      <c r="N2" s="22">
        <f>K2*E2*1000/COS(G2*3.14/180)+F2*1000</f>
        <v>1058.3616720278719</v>
      </c>
      <c r="O2" s="23">
        <f>L2*E2*1000/COS(G2*3.14/180)-J2*E2*L2*1000/COS(3.14*G2/180)</f>
        <v>-37.623345124355346</v>
      </c>
      <c r="P2" s="24">
        <f>D2*1000</f>
        <v>1000</v>
      </c>
    </row>
    <row r="3" spans="1:16" x14ac:dyDescent="0.25">
      <c r="A3">
        <f>'Airfoil Interpolation'!AK5</f>
        <v>0.95589333333333337</v>
      </c>
      <c r="B3">
        <f>'Airfoil Interpolation'!AL5</f>
        <v>5.7433333333333338E-3</v>
      </c>
      <c r="D3">
        <f>D2</f>
        <v>1</v>
      </c>
      <c r="E3">
        <f>E2</f>
        <v>0.55833333333333335</v>
      </c>
      <c r="F3">
        <f>F2</f>
        <v>0.5</v>
      </c>
      <c r="G3">
        <f>G2</f>
        <v>-3.8907630269934983</v>
      </c>
      <c r="J3">
        <f>J2</f>
        <v>0</v>
      </c>
      <c r="K3" s="1">
        <f t="shared" ref="K3:K31" si="0">((A3)*COS(3.14*G3/180)-B3*SIN(3.14*G3/180))</f>
        <v>0.9540819657999442</v>
      </c>
      <c r="L3" s="1">
        <f t="shared" ref="L3:L31" si="1">((A3)*SIN(3.14*G3/180)+B3*COS(3.14*G3/180))/COS(3.14*G3/180)</f>
        <v>-5.9235057568745877E-2</v>
      </c>
      <c r="N3" s="25">
        <f t="shared" ref="N3:N31" si="2">K3*E3*1000/COS(G3*3.14/180)+F3*1000</f>
        <v>1033.9250913374069</v>
      </c>
      <c r="O3" s="19">
        <f>L3*E3*1000/COS(G3*3.14/180)-J3*E3*L2*1000/COS(3.14*G2/180)</f>
        <v>-33.14923104772415</v>
      </c>
      <c r="P3" s="20">
        <f t="shared" ref="P3:P31" si="3">D3*1000</f>
        <v>1000</v>
      </c>
    </row>
    <row r="4" spans="1:16" x14ac:dyDescent="0.25">
      <c r="A4">
        <f>'Airfoil Interpolation'!AK6</f>
        <v>0.87020999999999993</v>
      </c>
      <c r="B4">
        <f>'Airfoil Interpolation'!AL6</f>
        <v>1.5346666666666666E-2</v>
      </c>
      <c r="D4">
        <f t="shared" ref="D4:G19" si="4">D3</f>
        <v>1</v>
      </c>
      <c r="E4">
        <f t="shared" si="4"/>
        <v>0.55833333333333335</v>
      </c>
      <c r="F4">
        <f t="shared" si="4"/>
        <v>0.5</v>
      </c>
      <c r="G4">
        <f t="shared" si="4"/>
        <v>-3.8907630269934983</v>
      </c>
      <c r="J4">
        <f t="shared" ref="J4:J31" si="5">J3</f>
        <v>0</v>
      </c>
      <c r="K4" s="1">
        <f t="shared" si="0"/>
        <v>0.86924721169404717</v>
      </c>
      <c r="L4" s="1">
        <f t="shared" si="1"/>
        <v>-4.3807261470606325E-2</v>
      </c>
      <c r="N4" s="25">
        <f t="shared" si="2"/>
        <v>986.44971138239453</v>
      </c>
      <c r="O4" s="19">
        <f>L4*E4*1000/COS(G4*3.14/180)-J4*E4*L2*1000/COS(3.14*G2/180)</f>
        <v>-24.515499632491341</v>
      </c>
      <c r="P4" s="20">
        <f t="shared" si="3"/>
        <v>1000</v>
      </c>
    </row>
    <row r="5" spans="1:16" x14ac:dyDescent="0.25">
      <c r="A5">
        <f>'Airfoil Interpolation'!AK7</f>
        <v>0.78321333333333332</v>
      </c>
      <c r="B5">
        <f>'Airfoil Interpolation'!AL7</f>
        <v>2.5083333333333332E-2</v>
      </c>
      <c r="D5">
        <f t="shared" si="4"/>
        <v>1</v>
      </c>
      <c r="E5">
        <f t="shared" si="4"/>
        <v>0.55833333333333335</v>
      </c>
      <c r="F5">
        <f t="shared" si="4"/>
        <v>0.5</v>
      </c>
      <c r="G5">
        <f t="shared" si="4"/>
        <v>-3.8907630269934983</v>
      </c>
      <c r="J5">
        <f t="shared" si="5"/>
        <v>0</v>
      </c>
      <c r="K5" s="1">
        <f t="shared" si="0"/>
        <v>0.78311119079782399</v>
      </c>
      <c r="L5" s="1">
        <f t="shared" si="1"/>
        <v>-2.8156856087788049E-2</v>
      </c>
      <c r="N5" s="25">
        <f t="shared" si="2"/>
        <v>938.24611413077196</v>
      </c>
      <c r="O5" s="19">
        <f>L5*E5*1000/COS(G5*3.14/180)-J5*E5*L2*1000/COS(3.14*G2/180)</f>
        <v>-15.757191203002755</v>
      </c>
      <c r="P5" s="20">
        <f t="shared" si="3"/>
        <v>1000</v>
      </c>
    </row>
    <row r="6" spans="1:16" x14ac:dyDescent="0.25">
      <c r="A6">
        <f>'Airfoil Interpolation'!AK8</f>
        <v>0.69617333333333331</v>
      </c>
      <c r="B6">
        <f>'Airfoil Interpolation'!AL8</f>
        <v>3.4786666666666667E-2</v>
      </c>
      <c r="D6">
        <f t="shared" si="4"/>
        <v>1</v>
      </c>
      <c r="E6">
        <f t="shared" si="4"/>
        <v>0.55833333333333335</v>
      </c>
      <c r="F6">
        <f t="shared" si="4"/>
        <v>0.5</v>
      </c>
      <c r="G6">
        <f t="shared" si="4"/>
        <v>-3.8907630269934983</v>
      </c>
      <c r="J6">
        <f t="shared" si="5"/>
        <v>0</v>
      </c>
      <c r="K6" s="1">
        <f t="shared" si="0"/>
        <v>0.69692967567035724</v>
      </c>
      <c r="L6" s="1">
        <f t="shared" si="1"/>
        <v>-1.2536838385086126E-2</v>
      </c>
      <c r="N6" s="25">
        <f t="shared" si="2"/>
        <v>890.01705731441325</v>
      </c>
      <c r="O6" s="19">
        <f>L6*E6*1000/COS(G6*3.14/180)-J6*E6*L2*1000/COS(3.14*G2/180)</f>
        <v>-7.015888382532312</v>
      </c>
      <c r="P6" s="20">
        <f t="shared" si="3"/>
        <v>1000</v>
      </c>
    </row>
    <row r="7" spans="1:16" x14ac:dyDescent="0.25">
      <c r="A7">
        <f>'Airfoil Interpolation'!AK9</f>
        <v>0.60921333333333338</v>
      </c>
      <c r="B7">
        <f>'Airfoil Interpolation'!AL9</f>
        <v>4.4436666666666666E-2</v>
      </c>
      <c r="D7">
        <f t="shared" si="4"/>
        <v>1</v>
      </c>
      <c r="E7">
        <f t="shared" si="4"/>
        <v>0.55833333333333335</v>
      </c>
      <c r="F7">
        <f t="shared" si="4"/>
        <v>0.5</v>
      </c>
      <c r="G7">
        <f t="shared" si="4"/>
        <v>-3.8907630269934983</v>
      </c>
      <c r="J7">
        <f t="shared" si="5"/>
        <v>0</v>
      </c>
      <c r="K7" s="1">
        <f t="shared" si="0"/>
        <v>0.61082435927614165</v>
      </c>
      <c r="L7" s="1">
        <f t="shared" si="1"/>
        <v>3.0244078552664911E-3</v>
      </c>
      <c r="N7" s="25">
        <f t="shared" si="2"/>
        <v>841.83064297225405</v>
      </c>
      <c r="O7" s="19">
        <f>L7*E7*1000/COS(G7*3.14/180)-J7*E7*L2*1000/COS(3.14*G2/180)</f>
        <v>1.6925246448933842</v>
      </c>
      <c r="P7" s="20">
        <f t="shared" si="3"/>
        <v>1000</v>
      </c>
    </row>
    <row r="8" spans="1:16" x14ac:dyDescent="0.25">
      <c r="A8">
        <f>'Airfoil Interpolation'!AK10</f>
        <v>0.52239333333333338</v>
      </c>
      <c r="B8">
        <f>'Airfoil Interpolation'!AL10</f>
        <v>5.3433333333333333E-2</v>
      </c>
      <c r="D8">
        <f t="shared" si="4"/>
        <v>1</v>
      </c>
      <c r="E8">
        <f t="shared" si="4"/>
        <v>0.55833333333333335</v>
      </c>
      <c r="F8">
        <f t="shared" si="4"/>
        <v>0.5</v>
      </c>
      <c r="G8">
        <f t="shared" si="4"/>
        <v>-3.8907630269934983</v>
      </c>
      <c r="J8">
        <f t="shared" si="5"/>
        <v>0</v>
      </c>
      <c r="K8" s="1">
        <f t="shared" si="0"/>
        <v>0.5248144114085227</v>
      </c>
      <c r="L8" s="1">
        <f t="shared" si="1"/>
        <v>1.7922804036507849E-2</v>
      </c>
      <c r="N8" s="25">
        <f t="shared" si="2"/>
        <v>793.69759893904006</v>
      </c>
      <c r="O8" s="19">
        <f>L8*E8*1000/COS(G8*3.14/180)-J8*E8*L2*1000/COS(3.14*G2/180)</f>
        <v>10.029992312234373</v>
      </c>
      <c r="P8" s="20">
        <f t="shared" si="3"/>
        <v>1000</v>
      </c>
    </row>
    <row r="9" spans="1:16" x14ac:dyDescent="0.25">
      <c r="A9">
        <f>'Airfoil Interpolation'!AK11</f>
        <v>0.43586999999999998</v>
      </c>
      <c r="B9">
        <f>'Airfoil Interpolation'!AL11</f>
        <v>6.0559999999999996E-2</v>
      </c>
      <c r="D9">
        <f t="shared" si="4"/>
        <v>1</v>
      </c>
      <c r="E9">
        <f t="shared" si="4"/>
        <v>0.55833333333333335</v>
      </c>
      <c r="F9">
        <f t="shared" si="4"/>
        <v>0.5</v>
      </c>
      <c r="G9">
        <f t="shared" si="4"/>
        <v>-3.8907630269934983</v>
      </c>
      <c r="J9">
        <f t="shared" si="5"/>
        <v>0</v>
      </c>
      <c r="K9" s="1">
        <f t="shared" si="0"/>
        <v>0.43897362356327307</v>
      </c>
      <c r="L9" s="1">
        <f t="shared" si="1"/>
        <v>3.0931033822648345E-2</v>
      </c>
      <c r="N9" s="25">
        <f t="shared" si="2"/>
        <v>745.65922054633893</v>
      </c>
      <c r="O9" s="19">
        <f>L9*E9*1000/COS(G9*3.14/180)-J9*E9*L2*1000/COS(3.14*G2/180)</f>
        <v>17.309681611129879</v>
      </c>
      <c r="P9" s="20">
        <f t="shared" si="3"/>
        <v>1000</v>
      </c>
    </row>
    <row r="10" spans="1:16" x14ac:dyDescent="0.25">
      <c r="A10">
        <f>'Airfoil Interpolation'!AK12</f>
        <v>0.34963666666666665</v>
      </c>
      <c r="B10">
        <f>'Airfoil Interpolation'!AL12</f>
        <v>6.5089999999999995E-2</v>
      </c>
      <c r="D10">
        <f t="shared" si="4"/>
        <v>1</v>
      </c>
      <c r="E10">
        <f t="shared" si="4"/>
        <v>0.55833333333333335</v>
      </c>
      <c r="F10">
        <f t="shared" si="4"/>
        <v>0.5</v>
      </c>
      <c r="G10">
        <f t="shared" si="4"/>
        <v>-3.8907630269934983</v>
      </c>
      <c r="J10">
        <f t="shared" si="5"/>
        <v>0</v>
      </c>
      <c r="K10" s="1">
        <f t="shared" si="0"/>
        <v>0.35324606181651447</v>
      </c>
      <c r="L10" s="1">
        <f t="shared" si="1"/>
        <v>4.1322883724439305E-2</v>
      </c>
      <c r="N10" s="25">
        <f t="shared" si="2"/>
        <v>697.68420594956478</v>
      </c>
      <c r="O10" s="19">
        <f>L10*E10*1000/COS(G10*3.14/180)-J10*E10*L2*1000/COS(3.14*G2/180)</f>
        <v>23.125187623054419</v>
      </c>
      <c r="P10" s="20">
        <f t="shared" si="3"/>
        <v>1000</v>
      </c>
    </row>
    <row r="11" spans="1:16" x14ac:dyDescent="0.25">
      <c r="A11">
        <f>'Airfoil Interpolation'!AK13</f>
        <v>0.26417333333333332</v>
      </c>
      <c r="B11">
        <f>'Airfoil Interpolation'!AL13</f>
        <v>6.5716666666666673E-2</v>
      </c>
      <c r="D11">
        <f t="shared" si="4"/>
        <v>1</v>
      </c>
      <c r="E11">
        <f t="shared" si="4"/>
        <v>0.55833333333333335</v>
      </c>
      <c r="F11">
        <f t="shared" si="4"/>
        <v>0.5</v>
      </c>
      <c r="G11">
        <f t="shared" si="4"/>
        <v>-3.8907630269934983</v>
      </c>
      <c r="J11">
        <f t="shared" si="5"/>
        <v>0</v>
      </c>
      <c r="K11" s="1">
        <f t="shared" si="0"/>
        <v>0.26802200273470944</v>
      </c>
      <c r="L11" s="1">
        <f t="shared" si="1"/>
        <v>4.775905830111829E-2</v>
      </c>
      <c r="N11" s="25">
        <f t="shared" si="2"/>
        <v>649.99096243327483</v>
      </c>
      <c r="O11" s="19">
        <f>L11*E11*1000/COS(G11*3.14/180)-J11*E11*L2*1000/COS(3.14*G2/180)</f>
        <v>26.727011388621108</v>
      </c>
      <c r="P11" s="20">
        <f t="shared" si="3"/>
        <v>1000</v>
      </c>
    </row>
    <row r="12" spans="1:16" x14ac:dyDescent="0.25">
      <c r="A12">
        <f>'Airfoil Interpolation'!AK14</f>
        <v>0.17988333333333331</v>
      </c>
      <c r="B12">
        <f>'Airfoil Interpolation'!AL14</f>
        <v>6.1719999999999997E-2</v>
      </c>
      <c r="D12">
        <f t="shared" si="4"/>
        <v>1</v>
      </c>
      <c r="E12">
        <f t="shared" si="4"/>
        <v>0.55833333333333335</v>
      </c>
      <c r="F12">
        <f t="shared" si="4"/>
        <v>0.5</v>
      </c>
      <c r="G12">
        <f t="shared" si="4"/>
        <v>-3.8907630269934983</v>
      </c>
      <c r="J12">
        <f t="shared" si="5"/>
        <v>0</v>
      </c>
      <c r="K12" s="1">
        <f t="shared" si="0"/>
        <v>0.18365502053018845</v>
      </c>
      <c r="L12" s="1">
        <f t="shared" si="1"/>
        <v>4.9492140318896448E-2</v>
      </c>
      <c r="N12" s="25">
        <f t="shared" si="2"/>
        <v>602.77735784360834</v>
      </c>
      <c r="O12" s="19">
        <f>L12*E12*1000/COS(G12*3.14/180)-J12*E12*L2*1000/COS(3.14*G2/180)</f>
        <v>27.69688191107835</v>
      </c>
      <c r="P12" s="20">
        <f t="shared" si="3"/>
        <v>1000</v>
      </c>
    </row>
    <row r="13" spans="1:16" x14ac:dyDescent="0.25">
      <c r="A13">
        <f>'Airfoil Interpolation'!AK15</f>
        <v>9.9846666666666667E-2</v>
      </c>
      <c r="B13">
        <f>'Airfoil Interpolation'!AL15</f>
        <v>5.0676666666666662E-2</v>
      </c>
      <c r="D13">
        <f t="shared" si="4"/>
        <v>1</v>
      </c>
      <c r="E13">
        <f t="shared" si="4"/>
        <v>0.55833333333333335</v>
      </c>
      <c r="F13">
        <f t="shared" si="4"/>
        <v>0.5</v>
      </c>
      <c r="G13">
        <f t="shared" si="4"/>
        <v>-3.8907630269934983</v>
      </c>
      <c r="J13">
        <f t="shared" si="5"/>
        <v>0</v>
      </c>
      <c r="K13" s="1">
        <f t="shared" si="0"/>
        <v>0.10305367299573093</v>
      </c>
      <c r="L13" s="1">
        <f t="shared" si="1"/>
        <v>4.3889428477325867E-2</v>
      </c>
      <c r="N13" s="25">
        <f t="shared" si="2"/>
        <v>557.6710846020103</v>
      </c>
      <c r="O13" s="19">
        <f>L13*E13*1000/COS(G13*3.14/180)-J13*E13*L2*1000/COS(3.14*G2/180)</f>
        <v>24.561482082784142</v>
      </c>
      <c r="P13" s="20">
        <f t="shared" si="3"/>
        <v>1000</v>
      </c>
    </row>
    <row r="14" spans="1:16" x14ac:dyDescent="0.25">
      <c r="A14">
        <f>'Airfoil Interpolation'!AK16</f>
        <v>3.8039999999999997E-2</v>
      </c>
      <c r="B14">
        <f>'Airfoil Interpolation'!AL16</f>
        <v>3.307333333333333E-2</v>
      </c>
      <c r="D14">
        <f t="shared" si="4"/>
        <v>1</v>
      </c>
      <c r="E14">
        <f t="shared" si="4"/>
        <v>0.55833333333333335</v>
      </c>
      <c r="F14">
        <f t="shared" si="4"/>
        <v>0.5</v>
      </c>
      <c r="G14">
        <f t="shared" si="4"/>
        <v>-3.8907630269934983</v>
      </c>
      <c r="J14">
        <f t="shared" si="5"/>
        <v>0</v>
      </c>
      <c r="K14" s="1">
        <f t="shared" si="0"/>
        <v>4.0195452232812186E-2</v>
      </c>
      <c r="L14" s="1">
        <f t="shared" si="1"/>
        <v>3.0487502986242553E-2</v>
      </c>
      <c r="N14" s="25">
        <f t="shared" si="2"/>
        <v>522.4942523536314</v>
      </c>
      <c r="O14" s="19">
        <f>L14*E14*1000/COS(G14*3.14/180)-J14*E14*L2*1000/COS(3.14*G2/180)</f>
        <v>17.061472074813611</v>
      </c>
      <c r="P14" s="20">
        <f t="shared" si="3"/>
        <v>1000</v>
      </c>
    </row>
    <row r="15" spans="1:16" x14ac:dyDescent="0.25">
      <c r="A15">
        <f>'Airfoil Interpolation'!AK17</f>
        <v>1.0866666666666667E-2</v>
      </c>
      <c r="B15">
        <f>'Airfoil Interpolation'!AL17</f>
        <v>1.7446666666666666E-2</v>
      </c>
      <c r="D15">
        <f t="shared" si="4"/>
        <v>1</v>
      </c>
      <c r="E15">
        <f t="shared" si="4"/>
        <v>0.55833333333333335</v>
      </c>
      <c r="F15">
        <f t="shared" si="4"/>
        <v>0.5</v>
      </c>
      <c r="G15">
        <f t="shared" si="4"/>
        <v>-3.8907630269934983</v>
      </c>
      <c r="J15">
        <f t="shared" si="5"/>
        <v>0</v>
      </c>
      <c r="K15" s="1">
        <f t="shared" si="0"/>
        <v>1.2024881584096633E-2</v>
      </c>
      <c r="L15" s="1">
        <f t="shared" si="1"/>
        <v>1.6707987475331584E-2</v>
      </c>
      <c r="N15" s="25">
        <f t="shared" si="2"/>
        <v>506.72938618300702</v>
      </c>
      <c r="O15" s="19">
        <f>L15*E15*1000/COS(G15*3.14/180)-J15*E15*L2*1000/COS(3.14*G2/180)</f>
        <v>9.3501544506724485</v>
      </c>
      <c r="P15" s="20">
        <f t="shared" si="3"/>
        <v>1000</v>
      </c>
    </row>
    <row r="16" spans="1:16" x14ac:dyDescent="0.25">
      <c r="A16">
        <f>'Airfoil Interpolation'!AK18</f>
        <v>1.1799999999999998E-3</v>
      </c>
      <c r="B16">
        <f>'Airfoil Interpolation'!AL18</f>
        <v>6.1066666666666665E-3</v>
      </c>
      <c r="D16">
        <f t="shared" si="4"/>
        <v>1</v>
      </c>
      <c r="E16">
        <f t="shared" si="4"/>
        <v>0.55833333333333335</v>
      </c>
      <c r="F16">
        <f t="shared" si="4"/>
        <v>0.5</v>
      </c>
      <c r="G16">
        <f t="shared" si="4"/>
        <v>-3.8907630269934983</v>
      </c>
      <c r="J16">
        <f t="shared" si="5"/>
        <v>0</v>
      </c>
      <c r="K16" s="1">
        <f t="shared" si="0"/>
        <v>1.5914378787536317E-3</v>
      </c>
      <c r="L16" s="1">
        <f t="shared" si="1"/>
        <v>6.0264542636812015E-3</v>
      </c>
      <c r="N16" s="25">
        <f t="shared" si="2"/>
        <v>500.89060337081094</v>
      </c>
      <c r="O16" s="19">
        <f>L16*E16*1000/COS(G16*3.14/180)-J16*E16*L2*1000/COS(3.14*G2/180)</f>
        <v>3.3725353360796952</v>
      </c>
      <c r="P16" s="20">
        <f t="shared" si="3"/>
        <v>1000</v>
      </c>
    </row>
    <row r="17" spans="1:16" x14ac:dyDescent="0.25">
      <c r="A17">
        <f>'Airfoil Interpolation'!AK19</f>
        <v>8.5333333333333333E-4</v>
      </c>
      <c r="B17">
        <f>'Airfoil Interpolation'!AL19</f>
        <v>-3.7799999999999999E-3</v>
      </c>
      <c r="D17">
        <f t="shared" si="4"/>
        <v>1</v>
      </c>
      <c r="E17">
        <f t="shared" si="4"/>
        <v>0.55833333333333335</v>
      </c>
      <c r="F17">
        <f t="shared" si="4"/>
        <v>0.5</v>
      </c>
      <c r="G17">
        <f t="shared" si="4"/>
        <v>-3.8907630269934983</v>
      </c>
      <c r="J17">
        <f t="shared" si="5"/>
        <v>0</v>
      </c>
      <c r="K17" s="1">
        <f t="shared" si="0"/>
        <v>5.9500860794628192E-4</v>
      </c>
      <c r="L17" s="1">
        <f t="shared" si="1"/>
        <v>-3.8380067095036136E-3</v>
      </c>
      <c r="N17" s="25">
        <f t="shared" si="2"/>
        <v>500.33297980334203</v>
      </c>
      <c r="O17" s="19">
        <f>L17*E17*1000/COS(G17*3.14/180)-J17*E17*L2*1000/COS(3.14*G2/180)</f>
        <v>-2.1478323208920016</v>
      </c>
      <c r="P17" s="20">
        <f t="shared" si="3"/>
        <v>1000</v>
      </c>
    </row>
    <row r="18" spans="1:16" x14ac:dyDescent="0.25">
      <c r="A18">
        <f>'Airfoil Interpolation'!AK20</f>
        <v>9.7333333333333334E-3</v>
      </c>
      <c r="B18">
        <f>'Airfoil Interpolation'!AL20</f>
        <v>-1.4080000000000001E-2</v>
      </c>
      <c r="D18">
        <f t="shared" si="4"/>
        <v>1</v>
      </c>
      <c r="E18">
        <f t="shared" si="4"/>
        <v>0.55833333333333335</v>
      </c>
      <c r="F18">
        <f t="shared" si="4"/>
        <v>0.5</v>
      </c>
      <c r="G18">
        <f t="shared" si="4"/>
        <v>-3.8907630269934983</v>
      </c>
      <c r="J18">
        <f t="shared" si="5"/>
        <v>0</v>
      </c>
      <c r="K18" s="1">
        <f t="shared" si="0"/>
        <v>8.7560159561918521E-3</v>
      </c>
      <c r="L18" s="1">
        <f t="shared" si="1"/>
        <v>-1.4741639030275594E-2</v>
      </c>
      <c r="N18" s="25">
        <f t="shared" si="2"/>
        <v>504.90005763314241</v>
      </c>
      <c r="O18" s="19">
        <f>L18*E18*1000/COS(G18*3.14/180)-J18*E18*L2*1000/COS(3.14*G2/180)</f>
        <v>-8.2497429443639518</v>
      </c>
      <c r="P18" s="20">
        <f t="shared" si="3"/>
        <v>1000</v>
      </c>
    </row>
    <row r="19" spans="1:16" x14ac:dyDescent="0.25">
      <c r="A19">
        <f>'Airfoil Interpolation'!AK21</f>
        <v>3.4803333333333332E-2</v>
      </c>
      <c r="B19">
        <f>'Airfoil Interpolation'!AL21</f>
        <v>-2.5656666666666668E-2</v>
      </c>
      <c r="D19">
        <f t="shared" si="4"/>
        <v>1</v>
      </c>
      <c r="E19">
        <f t="shared" si="4"/>
        <v>0.55833333333333335</v>
      </c>
      <c r="F19">
        <f t="shared" si="4"/>
        <v>0.5</v>
      </c>
      <c r="G19">
        <f t="shared" si="4"/>
        <v>-3.8907630269934983</v>
      </c>
      <c r="J19">
        <f t="shared" si="5"/>
        <v>0</v>
      </c>
      <c r="K19" s="1">
        <f t="shared" si="0"/>
        <v>3.2983163241224599E-2</v>
      </c>
      <c r="L19" s="1">
        <f t="shared" si="1"/>
        <v>-2.8022479377319907E-2</v>
      </c>
      <c r="N19" s="25">
        <f t="shared" si="2"/>
        <v>518.45809802242934</v>
      </c>
      <c r="O19" s="19">
        <f>L19*E19*1000/COS(G19*3.14/180)-J19*E19*L2*1000/COS(3.14*G2/180)</f>
        <v>-15.681991062991546</v>
      </c>
      <c r="P19" s="20">
        <f t="shared" si="3"/>
        <v>1000</v>
      </c>
    </row>
    <row r="20" spans="1:16" x14ac:dyDescent="0.25">
      <c r="A20">
        <f>'Airfoil Interpolation'!AK22</f>
        <v>9.4946666666666665E-2</v>
      </c>
      <c r="B20">
        <f>'Airfoil Interpolation'!AL22</f>
        <v>-3.9503333333333335E-2</v>
      </c>
      <c r="D20">
        <f t="shared" ref="D20:G31" si="6">D19</f>
        <v>1</v>
      </c>
      <c r="E20">
        <f t="shared" si="6"/>
        <v>0.55833333333333335</v>
      </c>
      <c r="F20">
        <f t="shared" si="6"/>
        <v>0.5</v>
      </c>
      <c r="G20">
        <f t="shared" si="6"/>
        <v>-3.8907630269934983</v>
      </c>
      <c r="J20">
        <f t="shared" si="5"/>
        <v>0</v>
      </c>
      <c r="K20" s="1">
        <f t="shared" si="0"/>
        <v>9.2048938207156428E-2</v>
      </c>
      <c r="L20" s="1">
        <f t="shared" si="1"/>
        <v>-4.5957486120446346E-2</v>
      </c>
      <c r="N20" s="25">
        <f t="shared" si="2"/>
        <v>551.51259483094839</v>
      </c>
      <c r="O20" s="19">
        <f>L20*E20*1000/COS(G20*3.14/180)-J20*E20*L2*1000/COS(3.14*G2/180)</f>
        <v>-25.718812276179346</v>
      </c>
      <c r="P20" s="20">
        <f t="shared" si="3"/>
        <v>1000</v>
      </c>
    </row>
    <row r="21" spans="1:16" x14ac:dyDescent="0.25">
      <c r="A21">
        <f>'Airfoil Interpolation'!AK23</f>
        <v>0.17599333333333333</v>
      </c>
      <c r="B21">
        <f>'Airfoil Interpolation'!AL23</f>
        <v>-4.7396666666666663E-2</v>
      </c>
      <c r="D21">
        <f t="shared" si="6"/>
        <v>1</v>
      </c>
      <c r="E21">
        <f t="shared" si="6"/>
        <v>0.55833333333333335</v>
      </c>
      <c r="F21">
        <f t="shared" si="6"/>
        <v>0.5</v>
      </c>
      <c r="G21">
        <f t="shared" si="6"/>
        <v>-3.8907630269934983</v>
      </c>
      <c r="J21">
        <f t="shared" si="5"/>
        <v>0</v>
      </c>
      <c r="K21" s="1">
        <f t="shared" si="0"/>
        <v>0.17237367363657366</v>
      </c>
      <c r="L21" s="1">
        <f t="shared" si="1"/>
        <v>-5.9360097324368977E-2</v>
      </c>
      <c r="N21" s="25">
        <f t="shared" si="2"/>
        <v>596.46406990138007</v>
      </c>
      <c r="O21" s="19">
        <f>L21*E21*1000/COS(G21*3.14/180)-J21*E21*L2*1000/COS(3.14*G2/180)</f>
        <v>-33.21920602402075</v>
      </c>
      <c r="P21" s="20">
        <f t="shared" si="3"/>
        <v>1000</v>
      </c>
    </row>
    <row r="22" spans="1:16" x14ac:dyDescent="0.25">
      <c r="A22">
        <f>'Airfoil Interpolation'!AK24</f>
        <v>0.26095333333333331</v>
      </c>
      <c r="B22">
        <f>'Airfoil Interpolation'!AL24</f>
        <v>-5.0313333333333335E-2</v>
      </c>
      <c r="D22">
        <f t="shared" si="6"/>
        <v>1</v>
      </c>
      <c r="E22">
        <f t="shared" si="6"/>
        <v>0.55833333333333335</v>
      </c>
      <c r="F22">
        <f t="shared" si="6"/>
        <v>0.5</v>
      </c>
      <c r="G22">
        <f t="shared" si="6"/>
        <v>-3.8907630269934983</v>
      </c>
      <c r="J22">
        <f t="shared" si="5"/>
        <v>0</v>
      </c>
      <c r="K22" s="1">
        <f t="shared" si="0"/>
        <v>0.25694025024522671</v>
      </c>
      <c r="L22" s="1">
        <f t="shared" si="1"/>
        <v>-6.8052057005989181E-2</v>
      </c>
      <c r="N22" s="25">
        <f t="shared" si="2"/>
        <v>643.78937187583813</v>
      </c>
      <c r="O22" s="19">
        <f>L22*E22*1000/COS(G22*3.14/180)-J22*E22*L2*1000/COS(3.14*G2/180)</f>
        <v>-38.083416367855349</v>
      </c>
      <c r="P22" s="20">
        <f t="shared" si="3"/>
        <v>1000</v>
      </c>
    </row>
    <row r="23" spans="1:16" x14ac:dyDescent="0.25">
      <c r="A23">
        <f>'Airfoil Interpolation'!AK25</f>
        <v>0.34708</v>
      </c>
      <c r="B23">
        <f>'Airfoil Interpolation'!AL25</f>
        <v>-5.0216666666666666E-2</v>
      </c>
      <c r="D23">
        <f t="shared" si="6"/>
        <v>1</v>
      </c>
      <c r="E23">
        <f t="shared" si="6"/>
        <v>0.55833333333333335</v>
      </c>
      <c r="F23">
        <f t="shared" si="6"/>
        <v>0.5</v>
      </c>
      <c r="G23">
        <f t="shared" si="6"/>
        <v>-3.8907630269934983</v>
      </c>
      <c r="J23">
        <f t="shared" si="5"/>
        <v>0</v>
      </c>
      <c r="K23" s="1">
        <f t="shared" si="0"/>
        <v>0.34287517191914035</v>
      </c>
      <c r="L23" s="1">
        <f t="shared" si="1"/>
        <v>-7.3809989402425516E-2</v>
      </c>
      <c r="N23" s="25">
        <f t="shared" si="2"/>
        <v>691.8804296135736</v>
      </c>
      <c r="O23" s="19">
        <f>L23*E23*1000/COS(G23*3.14/180)-J23*E23*L2*1000/COS(3.14*G2/180)</f>
        <v>-41.305681006412108</v>
      </c>
      <c r="P23" s="20">
        <f t="shared" si="3"/>
        <v>1000</v>
      </c>
    </row>
    <row r="24" spans="1:16" x14ac:dyDescent="0.25">
      <c r="A24">
        <f>'Airfoil Interpolation'!AK26</f>
        <v>0.43378</v>
      </c>
      <c r="B24">
        <f>'Airfoil Interpolation'!AL26</f>
        <v>-4.7766666666666666E-2</v>
      </c>
      <c r="D24">
        <f t="shared" si="6"/>
        <v>1</v>
      </c>
      <c r="E24">
        <f t="shared" si="6"/>
        <v>0.55833333333333335</v>
      </c>
      <c r="F24">
        <f t="shared" si="6"/>
        <v>0.5</v>
      </c>
      <c r="G24">
        <f t="shared" si="6"/>
        <v>-3.8907630269934983</v>
      </c>
      <c r="J24">
        <f t="shared" si="5"/>
        <v>0</v>
      </c>
      <c r="K24" s="1">
        <f t="shared" si="0"/>
        <v>0.42954171016891718</v>
      </c>
      <c r="L24" s="1">
        <f t="shared" si="1"/>
        <v>-7.7253561723476263E-2</v>
      </c>
      <c r="N24" s="25">
        <f t="shared" si="2"/>
        <v>740.38091595502885</v>
      </c>
      <c r="O24" s="19">
        <f>L24*E24*1000/COS(G24*3.14/180)-J24*E24*L2*1000/COS(3.14*G2/180)</f>
        <v>-43.232779234814757</v>
      </c>
      <c r="P24" s="20">
        <f t="shared" si="3"/>
        <v>1000</v>
      </c>
    </row>
    <row r="25" spans="1:16" x14ac:dyDescent="0.25">
      <c r="A25">
        <f>'Airfoil Interpolation'!AK27</f>
        <v>0.52090666666666674</v>
      </c>
      <c r="B25">
        <f>'Airfoil Interpolation'!AL27</f>
        <v>-4.3529999999999999E-2</v>
      </c>
      <c r="D25">
        <f t="shared" si="6"/>
        <v>1</v>
      </c>
      <c r="E25">
        <f t="shared" si="6"/>
        <v>0.55833333333333335</v>
      </c>
      <c r="F25">
        <f t="shared" si="6"/>
        <v>0.5</v>
      </c>
      <c r="G25">
        <f t="shared" si="6"/>
        <v>-3.8907630269934983</v>
      </c>
      <c r="J25">
        <f t="shared" si="5"/>
        <v>0</v>
      </c>
      <c r="K25" s="1">
        <f t="shared" si="0"/>
        <v>0.51675510462755991</v>
      </c>
      <c r="L25" s="1">
        <f t="shared" si="1"/>
        <v>-7.8939470732612163E-2</v>
      </c>
      <c r="N25" s="25">
        <f t="shared" si="2"/>
        <v>789.18743496635261</v>
      </c>
      <c r="O25" s="19">
        <f>L25*E25*1000/COS(G25*3.14/180)-J25*E25*L2*1000/COS(3.14*G2/180)</f>
        <v>-44.176250712063265</v>
      </c>
      <c r="P25" s="20">
        <f t="shared" si="3"/>
        <v>1000</v>
      </c>
    </row>
    <row r="26" spans="1:16" x14ac:dyDescent="0.25">
      <c r="A26">
        <f>'Airfoil Interpolation'!AK28</f>
        <v>0.60821000000000003</v>
      </c>
      <c r="B26">
        <f>'Airfoil Interpolation'!AL28</f>
        <v>-3.7926666666666671E-2</v>
      </c>
      <c r="D26">
        <f t="shared" si="6"/>
        <v>1</v>
      </c>
      <c r="E26">
        <f t="shared" si="6"/>
        <v>0.55833333333333335</v>
      </c>
      <c r="F26">
        <f t="shared" si="6"/>
        <v>0.5</v>
      </c>
      <c r="G26">
        <f t="shared" si="6"/>
        <v>-3.8907630269934983</v>
      </c>
      <c r="J26">
        <f t="shared" si="5"/>
        <v>0</v>
      </c>
      <c r="K26" s="1">
        <f t="shared" si="0"/>
        <v>0.6042374464610375</v>
      </c>
      <c r="L26" s="1">
        <f t="shared" si="1"/>
        <v>-7.9270722276658295E-2</v>
      </c>
      <c r="N26" s="25">
        <f t="shared" si="2"/>
        <v>838.14446279853348</v>
      </c>
      <c r="O26" s="19">
        <f>L26*E26*1000/COS(G26*3.14/180)-J26*E26*L2*1000/COS(3.14*G2/180)</f>
        <v>-44.361626305828104</v>
      </c>
      <c r="P26" s="20">
        <f t="shared" si="3"/>
        <v>1000</v>
      </c>
    </row>
    <row r="27" spans="1:16" x14ac:dyDescent="0.25">
      <c r="A27">
        <f>'Airfoil Interpolation'!AK29</f>
        <v>0.69556000000000007</v>
      </c>
      <c r="B27">
        <f>'Airfoil Interpolation'!AL29</f>
        <v>-3.116E-2</v>
      </c>
      <c r="D27">
        <f t="shared" si="6"/>
        <v>1</v>
      </c>
      <c r="E27">
        <f t="shared" si="6"/>
        <v>0.55833333333333335</v>
      </c>
      <c r="F27">
        <f t="shared" si="6"/>
        <v>0.5</v>
      </c>
      <c r="G27">
        <f t="shared" si="6"/>
        <v>-3.8907630269934983</v>
      </c>
      <c r="J27">
        <f t="shared" si="5"/>
        <v>0</v>
      </c>
      <c r="K27" s="1">
        <f t="shared" si="0"/>
        <v>0.6918452448985094</v>
      </c>
      <c r="L27" s="1">
        <f t="shared" si="1"/>
        <v>-7.8441812729297081E-2</v>
      </c>
      <c r="N27" s="25">
        <f t="shared" si="2"/>
        <v>887.17169888445756</v>
      </c>
      <c r="O27" s="19">
        <f>L27*E27*1000/COS(G27*3.14/180)-J27*E27*L2*1000/COS(3.14*G2/180)</f>
        <v>-43.897750431794357</v>
      </c>
      <c r="P27" s="20">
        <f t="shared" si="3"/>
        <v>1000</v>
      </c>
    </row>
    <row r="28" spans="1:16" x14ac:dyDescent="0.25">
      <c r="A28">
        <f>'Airfoil Interpolation'!AK30</f>
        <v>0.78288333333333338</v>
      </c>
      <c r="B28">
        <f>'Airfoil Interpolation'!AL30</f>
        <v>-2.3476666666666667E-2</v>
      </c>
      <c r="D28">
        <f t="shared" si="6"/>
        <v>1</v>
      </c>
      <c r="E28">
        <f t="shared" si="6"/>
        <v>0.55833333333333335</v>
      </c>
      <c r="F28">
        <f t="shared" si="6"/>
        <v>0.5</v>
      </c>
      <c r="G28">
        <f t="shared" si="6"/>
        <v>-3.8907630269934983</v>
      </c>
      <c r="J28">
        <f t="shared" si="5"/>
        <v>0</v>
      </c>
      <c r="K28" s="1">
        <f t="shared" si="0"/>
        <v>0.77948860649351603</v>
      </c>
      <c r="L28" s="1">
        <f t="shared" si="1"/>
        <v>-7.6694423805597212E-2</v>
      </c>
      <c r="N28" s="25">
        <f t="shared" si="2"/>
        <v>936.21883688952016</v>
      </c>
      <c r="O28" s="19">
        <f>L28*E28*1000/COS(G28*3.14/180)-J28*E28*L2*1000/COS(3.14*G2/180)</f>
        <v>-42.919873452528563</v>
      </c>
      <c r="P28" s="20">
        <f t="shared" si="3"/>
        <v>1000</v>
      </c>
    </row>
    <row r="29" spans="1:16" x14ac:dyDescent="0.25">
      <c r="A29">
        <f>'Airfoil Interpolation'!AK31</f>
        <v>0.87012333333333325</v>
      </c>
      <c r="B29">
        <f>'Airfoil Interpolation'!AL31</f>
        <v>-1.486E-2</v>
      </c>
      <c r="D29">
        <f t="shared" si="6"/>
        <v>1</v>
      </c>
      <c r="E29">
        <f t="shared" si="6"/>
        <v>0.55833333333333335</v>
      </c>
      <c r="F29">
        <f t="shared" si="6"/>
        <v>0.5</v>
      </c>
      <c r="G29">
        <f t="shared" si="6"/>
        <v>-3.8907630269934983</v>
      </c>
      <c r="J29">
        <f t="shared" si="5"/>
        <v>0</v>
      </c>
      <c r="K29" s="1">
        <f t="shared" si="0"/>
        <v>0.86711212538564864</v>
      </c>
      <c r="L29" s="1">
        <f t="shared" si="1"/>
        <v>-7.4008036830839036E-2</v>
      </c>
      <c r="N29" s="25">
        <f t="shared" si="2"/>
        <v>985.25487048497848</v>
      </c>
      <c r="O29" s="19">
        <f>L29*E29*1000/COS(G29*3.14/180)-J29*E29*L2*1000/COS(3.14*G2/180)</f>
        <v>-41.416512669828123</v>
      </c>
      <c r="P29" s="20">
        <f t="shared" si="3"/>
        <v>1000</v>
      </c>
    </row>
    <row r="30" spans="1:16" x14ac:dyDescent="0.25">
      <c r="A30">
        <f>'Airfoil Interpolation'!AK32</f>
        <v>0.95589666666666673</v>
      </c>
      <c r="B30">
        <f>'Airfoil Interpolation'!AL32</f>
        <v>-5.6100000000000004E-3</v>
      </c>
      <c r="D30">
        <f t="shared" si="6"/>
        <v>1</v>
      </c>
      <c r="E30">
        <f t="shared" si="6"/>
        <v>0.55833333333333335</v>
      </c>
      <c r="F30">
        <f t="shared" si="6"/>
        <v>0.5</v>
      </c>
      <c r="G30">
        <f t="shared" si="6"/>
        <v>-3.8907630269934983</v>
      </c>
      <c r="J30">
        <f t="shared" si="5"/>
        <v>0</v>
      </c>
      <c r="K30" s="1">
        <f t="shared" si="0"/>
        <v>0.95331530724447811</v>
      </c>
      <c r="L30" s="1">
        <f t="shared" si="1"/>
        <v>-7.0588617490788194E-2</v>
      </c>
      <c r="N30" s="25">
        <f t="shared" si="2"/>
        <v>1033.4960524770941</v>
      </c>
      <c r="O30" s="19">
        <f>L30*E30*1000/COS(G30*3.14/180)-J30*E30*L2*1000/COS(3.14*G2/180)</f>
        <v>-39.502930976742888</v>
      </c>
      <c r="P30" s="20">
        <f t="shared" si="3"/>
        <v>1000</v>
      </c>
    </row>
    <row r="31" spans="1:16" ht="15.75" thickBot="1" x14ac:dyDescent="0.3">
      <c r="A31">
        <f>'Airfoil Interpolation'!AK33</f>
        <v>1</v>
      </c>
      <c r="B31">
        <f>'Airfoil Interpolation'!AL33</f>
        <v>-6.5333333333333346E-4</v>
      </c>
      <c r="D31">
        <f t="shared" si="6"/>
        <v>1</v>
      </c>
      <c r="E31">
        <f t="shared" si="6"/>
        <v>0.55833333333333335</v>
      </c>
      <c r="F31">
        <f t="shared" si="6"/>
        <v>0.5</v>
      </c>
      <c r="G31">
        <f t="shared" si="6"/>
        <v>-3.8907630269934983</v>
      </c>
      <c r="J31">
        <f t="shared" si="5"/>
        <v>0</v>
      </c>
      <c r="K31" s="1">
        <f t="shared" si="0"/>
        <v>0.99765325721313136</v>
      </c>
      <c r="L31" s="1">
        <f t="shared" si="1"/>
        <v>-6.8629946032880557E-2</v>
      </c>
      <c r="N31" s="26">
        <f t="shared" si="2"/>
        <v>1058.3085369756118</v>
      </c>
      <c r="O31" s="27">
        <f>L31*E31*1000/COS(G31*3.14/180)-J31*E31*L2*1000/COS(3.14*G2/180)</f>
        <v>-38.40681567999637</v>
      </c>
      <c r="P31" s="28">
        <f t="shared" si="3"/>
        <v>1000</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activeCell="W30" sqref="W30"/>
    </sheetView>
  </sheetViews>
  <sheetFormatPr defaultRowHeight="15" x14ac:dyDescent="0.25"/>
  <sheetData>
    <row r="1" spans="1:16" ht="15.75" thickBot="1" x14ac:dyDescent="0.3">
      <c r="A1">
        <v>10</v>
      </c>
      <c r="D1" t="s">
        <v>0</v>
      </c>
      <c r="E1" t="s">
        <v>1</v>
      </c>
      <c r="F1" t="s">
        <v>2</v>
      </c>
      <c r="G1" t="s">
        <v>5</v>
      </c>
      <c r="J1" t="s">
        <v>10</v>
      </c>
      <c r="K1" t="s">
        <v>9</v>
      </c>
      <c r="N1" s="6" t="s">
        <v>6</v>
      </c>
      <c r="O1" s="6" t="s">
        <v>7</v>
      </c>
      <c r="P1" s="6" t="s">
        <v>8</v>
      </c>
    </row>
    <row r="2" spans="1:16" x14ac:dyDescent="0.25">
      <c r="A2">
        <f>'Airfoil Interpolation'!AO4</f>
        <v>1</v>
      </c>
      <c r="B2">
        <f>'Airfoil Interpolation'!AP4</f>
        <v>8.2249999999999988E-4</v>
      </c>
      <c r="D2" s="4">
        <f>'Loft Viewer'!K5</f>
        <v>1.125</v>
      </c>
      <c r="E2" s="4">
        <f>'Loft Viewer'!K6</f>
        <v>0.46640625000000013</v>
      </c>
      <c r="F2" s="4">
        <f>'Loft Viewer'!K7</f>
        <v>0.6328125</v>
      </c>
      <c r="G2" s="4">
        <f>-'Loft Viewer'!K8</f>
        <v>-2.4369435918125348</v>
      </c>
      <c r="J2">
        <f>'Loft Viewer'!B2</f>
        <v>0</v>
      </c>
      <c r="K2" s="1">
        <f>((A2)*COS(3.14*G2/180)-B2*SIN(3.14*G2/180))</f>
        <v>0.99913149298106174</v>
      </c>
      <c r="L2" s="1">
        <f>((A2)*SIN(3.14*G2/180)+B2*COS(3.14*G2/180))/COS(3.14*G2/180)</f>
        <v>-4.1714254272361993E-2</v>
      </c>
      <c r="N2" s="22">
        <f>K2*E2*1000/COS(G2*3.14/180)+F2*1000</f>
        <v>1099.2350679131191</v>
      </c>
      <c r="O2" s="23">
        <f>L2*E2*1000/COS(G2*3.14/180)-J2*E2*L2*1000/COS(3.14*G2/180)</f>
        <v>-19.473382365562838</v>
      </c>
      <c r="P2" s="24">
        <f>D2*1000</f>
        <v>1125</v>
      </c>
    </row>
    <row r="3" spans="1:16" x14ac:dyDescent="0.25">
      <c r="A3">
        <f>'Airfoil Interpolation'!AO5</f>
        <v>0.95647749999999998</v>
      </c>
      <c r="B3">
        <f>'Airfoil Interpolation'!AP5</f>
        <v>5.7600000000000004E-3</v>
      </c>
      <c r="D3">
        <f>D2</f>
        <v>1.125</v>
      </c>
      <c r="E3">
        <f>E2</f>
        <v>0.46640625000000013</v>
      </c>
      <c r="F3">
        <f>F2</f>
        <v>0.6328125</v>
      </c>
      <c r="G3">
        <f>G2</f>
        <v>-2.4369435918125348</v>
      </c>
      <c r="J3">
        <f>J2</f>
        <v>0</v>
      </c>
      <c r="K3" s="1">
        <f t="shared" ref="K3:K31" si="0">((A3)*COS(3.14*G3/180)-B3*SIN(3.14*G3/180))</f>
        <v>0.95585814937561919</v>
      </c>
      <c r="L3" s="1">
        <f t="shared" ref="L3:L31" si="1">((A3)*SIN(3.14*G3/180)+B3*COS(3.14*G3/180))/COS(3.14*G3/180)</f>
        <v>-3.4925448384543117E-2</v>
      </c>
      <c r="N3" s="25">
        <f t="shared" ref="N3:N31" si="2">K3*E3*1000/COS(G3*3.14/180)+F3*1000</f>
        <v>1079.0338589747278</v>
      </c>
      <c r="O3" s="19">
        <f>L3*E3*1000/COS(G3*3.14/180)-J3*E3*L2*1000/COS(3.14*G2/180)</f>
        <v>-16.304177613731238</v>
      </c>
      <c r="P3" s="20">
        <f t="shared" ref="P3:P31" si="3">D3*1000</f>
        <v>1125</v>
      </c>
    </row>
    <row r="4" spans="1:16" x14ac:dyDescent="0.25">
      <c r="A4">
        <f>'Airfoil Interpolation'!AO6</f>
        <v>0.87070249999999993</v>
      </c>
      <c r="B4">
        <f>'Airfoil Interpolation'!AP6</f>
        <v>1.5235E-2</v>
      </c>
      <c r="D4">
        <f t="shared" ref="D4:G19" si="4">D3</f>
        <v>1.125</v>
      </c>
      <c r="E4">
        <f t="shared" si="4"/>
        <v>0.46640625000000013</v>
      </c>
      <c r="F4">
        <f t="shared" si="4"/>
        <v>0.6328125</v>
      </c>
      <c r="G4">
        <f t="shared" si="4"/>
        <v>-2.4369435918125348</v>
      </c>
      <c r="J4">
        <f t="shared" ref="J4:J31" si="5">J3</f>
        <v>0</v>
      </c>
      <c r="K4" s="1">
        <f t="shared" si="0"/>
        <v>0.87056331543855914</v>
      </c>
      <c r="L4" s="1">
        <f t="shared" si="1"/>
        <v>-2.1801858286831271E-2</v>
      </c>
      <c r="N4" s="25">
        <f t="shared" si="2"/>
        <v>1039.2158412722263</v>
      </c>
      <c r="O4" s="19">
        <f>L4*E4*1000/COS(G4*3.14/180)-J4*E4*L2*1000/COS(3.14*G2/180)</f>
        <v>-10.177718147069262</v>
      </c>
      <c r="P4" s="20">
        <f t="shared" si="3"/>
        <v>1125</v>
      </c>
    </row>
    <row r="5" spans="1:16" x14ac:dyDescent="0.25">
      <c r="A5">
        <f>'Airfoil Interpolation'!AO7</f>
        <v>0.78346000000000005</v>
      </c>
      <c r="B5">
        <f>'Airfoil Interpolation'!AP7</f>
        <v>2.46375E-2</v>
      </c>
      <c r="D5">
        <f t="shared" si="4"/>
        <v>1.125</v>
      </c>
      <c r="E5">
        <f t="shared" si="4"/>
        <v>0.46640625000000013</v>
      </c>
      <c r="F5">
        <f t="shared" si="4"/>
        <v>0.6328125</v>
      </c>
      <c r="G5">
        <f t="shared" si="4"/>
        <v>-2.4369435918125348</v>
      </c>
      <c r="J5">
        <f t="shared" si="5"/>
        <v>0</v>
      </c>
      <c r="K5" s="1">
        <f t="shared" si="0"/>
        <v>0.78379922620333797</v>
      </c>
      <c r="L5" s="1">
        <f t="shared" si="1"/>
        <v>-8.6883455022247341E-3</v>
      </c>
      <c r="N5" s="25">
        <f t="shared" si="2"/>
        <v>998.71193404076655</v>
      </c>
      <c r="O5" s="19">
        <f>L5*E5*1000/COS(G5*3.14/180)-J5*E5*L2*1000/COS(3.14*G2/180)</f>
        <v>-4.0559630524436603</v>
      </c>
      <c r="P5" s="20">
        <f t="shared" si="3"/>
        <v>1125</v>
      </c>
    </row>
    <row r="6" spans="1:16" x14ac:dyDescent="0.25">
      <c r="A6">
        <f>'Airfoil Interpolation'!AO8</f>
        <v>0.69616250000000002</v>
      </c>
      <c r="B6">
        <f>'Airfoil Interpolation'!AP8</f>
        <v>3.3802499999999999E-2</v>
      </c>
      <c r="D6">
        <f t="shared" si="4"/>
        <v>1.125</v>
      </c>
      <c r="E6">
        <f t="shared" si="4"/>
        <v>0.46640625000000013</v>
      </c>
      <c r="F6">
        <f t="shared" si="4"/>
        <v>0.6328125</v>
      </c>
      <c r="G6">
        <f t="shared" si="4"/>
        <v>-2.4369435918125348</v>
      </c>
      <c r="J6">
        <f t="shared" si="5"/>
        <v>0</v>
      </c>
      <c r="K6" s="1">
        <f t="shared" si="0"/>
        <v>0.69697009330658588</v>
      </c>
      <c r="L6" s="1">
        <f t="shared" si="1"/>
        <v>4.190006803866793E-3</v>
      </c>
      <c r="N6" s="25">
        <f t="shared" si="2"/>
        <v>958.17766260614542</v>
      </c>
      <c r="O6" s="19">
        <f>L6*E6*1000/COS(G6*3.14/180)-J6*E6*L2*1000/COS(3.14*G2/180)</f>
        <v>1.9560125436562872</v>
      </c>
      <c r="P6" s="20">
        <f t="shared" si="3"/>
        <v>1125</v>
      </c>
    </row>
    <row r="7" spans="1:16" x14ac:dyDescent="0.25">
      <c r="A7">
        <f>'Airfoil Interpolation'!AO9</f>
        <v>0.60893249999999999</v>
      </c>
      <c r="B7">
        <f>'Airfoil Interpolation'!AP9</f>
        <v>4.2695000000000004E-2</v>
      </c>
      <c r="D7">
        <f t="shared" si="4"/>
        <v>1.125</v>
      </c>
      <c r="E7">
        <f t="shared" si="4"/>
        <v>0.46640625000000013</v>
      </c>
      <c r="F7">
        <f t="shared" si="4"/>
        <v>0.6328125</v>
      </c>
      <c r="G7">
        <f t="shared" si="4"/>
        <v>-2.4369435918125348</v>
      </c>
      <c r="J7">
        <f t="shared" si="5"/>
        <v>0</v>
      </c>
      <c r="K7" s="1">
        <f t="shared" si="0"/>
        <v>0.61019681863288366</v>
      </c>
      <c r="L7" s="1">
        <f t="shared" si="1"/>
        <v>1.6792987879044933E-2</v>
      </c>
      <c r="N7" s="25">
        <f t="shared" si="2"/>
        <v>917.66946735470651</v>
      </c>
      <c r="O7" s="19">
        <f>L7*E7*1000/COS(G7*3.14/180)-J7*E7*L2*1000/COS(3.14*G2/180)</f>
        <v>7.8394371356548627</v>
      </c>
      <c r="P7" s="20">
        <f t="shared" si="3"/>
        <v>1125</v>
      </c>
    </row>
    <row r="8" spans="1:16" x14ac:dyDescent="0.25">
      <c r="A8">
        <f>'Airfoil Interpolation'!AO10</f>
        <v>0.52184249999999999</v>
      </c>
      <c r="B8">
        <f>'Airfoil Interpolation'!AP10</f>
        <v>5.083E-2</v>
      </c>
      <c r="D8">
        <f t="shared" si="4"/>
        <v>1.125</v>
      </c>
      <c r="E8">
        <f t="shared" si="4"/>
        <v>0.46640625000000013</v>
      </c>
      <c r="F8">
        <f t="shared" si="4"/>
        <v>0.6328125</v>
      </c>
      <c r="G8">
        <f t="shared" si="4"/>
        <v>-2.4369435918125348</v>
      </c>
      <c r="J8">
        <f t="shared" si="5"/>
        <v>0</v>
      </c>
      <c r="K8" s="1">
        <f t="shared" si="0"/>
        <v>0.52353122499413529</v>
      </c>
      <c r="L8" s="1">
        <f t="shared" si="1"/>
        <v>2.8632513808624933E-2</v>
      </c>
      <c r="N8" s="25">
        <f t="shared" si="2"/>
        <v>877.21154062667154</v>
      </c>
      <c r="O8" s="19">
        <f>L8*E8*1000/COS(G8*3.14/180)-J8*E8*L2*1000/COS(3.14*G2/180)</f>
        <v>13.366459480303682</v>
      </c>
      <c r="P8" s="20">
        <f t="shared" si="3"/>
        <v>1125</v>
      </c>
    </row>
    <row r="9" spans="1:16" x14ac:dyDescent="0.25">
      <c r="A9">
        <f>'Airfoil Interpolation'!AO11</f>
        <v>0.4350425</v>
      </c>
      <c r="B9">
        <f>'Airfoil Interpolation'!AP11</f>
        <v>5.7224999999999998E-2</v>
      </c>
      <c r="D9">
        <f t="shared" si="4"/>
        <v>1.125</v>
      </c>
      <c r="E9">
        <f t="shared" si="4"/>
        <v>0.46640625000000013</v>
      </c>
      <c r="F9">
        <f t="shared" si="4"/>
        <v>0.6328125</v>
      </c>
      <c r="G9">
        <f t="shared" si="4"/>
        <v>-2.4369435918125348</v>
      </c>
      <c r="J9">
        <f t="shared" si="5"/>
        <v>0</v>
      </c>
      <c r="K9" s="1">
        <f t="shared" si="0"/>
        <v>0.43708142226779029</v>
      </c>
      <c r="L9" s="1">
        <f t="shared" si="1"/>
        <v>3.8719704079465955E-2</v>
      </c>
      <c r="N9" s="25">
        <f t="shared" si="2"/>
        <v>836.85435114113432</v>
      </c>
      <c r="O9" s="19">
        <f>L9*E9*1000/COS(G9*3.14/180)-J9*E9*L2*1000/COS(3.14*G2/180)</f>
        <v>18.07544245422249</v>
      </c>
      <c r="P9" s="20">
        <f t="shared" si="3"/>
        <v>1125</v>
      </c>
    </row>
    <row r="10" spans="1:16" x14ac:dyDescent="0.25">
      <c r="A10">
        <f>'Airfoil Interpolation'!AO12</f>
        <v>0.34857749999999998</v>
      </c>
      <c r="B10">
        <f>'Airfoil Interpolation'!AP12</f>
        <v>6.123E-2</v>
      </c>
      <c r="D10">
        <f t="shared" si="4"/>
        <v>1.125</v>
      </c>
      <c r="E10">
        <f t="shared" si="4"/>
        <v>0.46640625000000013</v>
      </c>
      <c r="F10">
        <f t="shared" si="4"/>
        <v>0.6328125</v>
      </c>
      <c r="G10">
        <f t="shared" si="4"/>
        <v>-2.4369435918125348</v>
      </c>
      <c r="J10">
        <f t="shared" si="5"/>
        <v>0</v>
      </c>
      <c r="K10" s="1">
        <f t="shared" si="0"/>
        <v>0.35086474588750499</v>
      </c>
      <c r="L10" s="1">
        <f t="shared" si="1"/>
        <v>4.6402644537625742E-2</v>
      </c>
      <c r="N10" s="25">
        <f t="shared" si="2"/>
        <v>796.60599156411388</v>
      </c>
      <c r="O10" s="19">
        <f>L10*E10*1000/COS(G10*3.14/180)-J10*E10*L2*1000/COS(3.14*G2/180)</f>
        <v>21.662054269376643</v>
      </c>
      <c r="P10" s="20">
        <f t="shared" si="3"/>
        <v>1125</v>
      </c>
    </row>
    <row r="11" spans="1:16" x14ac:dyDescent="0.25">
      <c r="A11">
        <f>'Airfoil Interpolation'!AO13</f>
        <v>0.26289000000000001</v>
      </c>
      <c r="B11">
        <f>'Airfoil Interpolation'!AP13</f>
        <v>6.1707499999999998E-2</v>
      </c>
      <c r="D11">
        <f t="shared" si="4"/>
        <v>1.125</v>
      </c>
      <c r="E11">
        <f t="shared" si="4"/>
        <v>0.46640625000000013</v>
      </c>
      <c r="F11">
        <f t="shared" si="4"/>
        <v>0.6328125</v>
      </c>
      <c r="G11">
        <f t="shared" si="4"/>
        <v>-2.4369435918125348</v>
      </c>
      <c r="J11">
        <f t="shared" si="5"/>
        <v>0</v>
      </c>
      <c r="K11" s="1">
        <f t="shared" si="0"/>
        <v>0.26527495422791597</v>
      </c>
      <c r="L11" s="1">
        <f t="shared" si="1"/>
        <v>5.0525012669338752E-2</v>
      </c>
      <c r="N11" s="25">
        <f t="shared" si="2"/>
        <v>756.65027933458146</v>
      </c>
      <c r="O11" s="19">
        <f>L11*E11*1000/COS(G11*3.14/180)-J11*E11*L2*1000/COS(3.14*G2/180)</f>
        <v>23.586491186223217</v>
      </c>
      <c r="P11" s="20">
        <f t="shared" si="3"/>
        <v>1125</v>
      </c>
    </row>
    <row r="12" spans="1:16" x14ac:dyDescent="0.25">
      <c r="A12">
        <f>'Airfoil Interpolation'!AO14</f>
        <v>0.17847499999999999</v>
      </c>
      <c r="B12">
        <f>'Airfoil Interpolation'!AP14</f>
        <v>5.7880000000000001E-2</v>
      </c>
      <c r="D12">
        <f t="shared" si="4"/>
        <v>1.125</v>
      </c>
      <c r="E12">
        <f t="shared" si="4"/>
        <v>0.46640625000000013</v>
      </c>
      <c r="F12">
        <f t="shared" si="4"/>
        <v>0.6328125</v>
      </c>
      <c r="G12">
        <f t="shared" si="4"/>
        <v>-2.4369435918125348</v>
      </c>
      <c r="J12">
        <f t="shared" si="5"/>
        <v>0</v>
      </c>
      <c r="K12" s="1">
        <f t="shared" si="0"/>
        <v>0.1807735576285272</v>
      </c>
      <c r="L12" s="1">
        <f t="shared" si="1"/>
        <v>5.0288252781240189E-2</v>
      </c>
      <c r="N12" s="25">
        <f t="shared" si="2"/>
        <v>717.2026604065303</v>
      </c>
      <c r="O12" s="19">
        <f>L12*E12*1000/COS(G12*3.14/180)-J12*E12*L2*1000/COS(3.14*G2/180)</f>
        <v>23.475965038502391</v>
      </c>
      <c r="P12" s="20">
        <f t="shared" si="3"/>
        <v>1125</v>
      </c>
    </row>
    <row r="13" spans="1:16" x14ac:dyDescent="0.25">
      <c r="A13">
        <f>'Airfoil Interpolation'!AO15</f>
        <v>9.8360000000000003E-2</v>
      </c>
      <c r="B13">
        <f>'Airfoil Interpolation'!AP15</f>
        <v>4.7542500000000001E-2</v>
      </c>
      <c r="D13">
        <f t="shared" si="4"/>
        <v>1.125</v>
      </c>
      <c r="E13">
        <f t="shared" si="4"/>
        <v>0.46640625000000013</v>
      </c>
      <c r="F13">
        <f t="shared" si="4"/>
        <v>0.6328125</v>
      </c>
      <c r="G13">
        <f t="shared" si="4"/>
        <v>-2.4369435918125348</v>
      </c>
      <c r="J13">
        <f t="shared" si="5"/>
        <v>0</v>
      </c>
      <c r="K13" s="1">
        <f t="shared" si="0"/>
        <v>0.10029161205418692</v>
      </c>
      <c r="L13" s="1">
        <f t="shared" si="1"/>
        <v>4.3358584849770475E-2</v>
      </c>
      <c r="N13" s="25">
        <f t="shared" si="2"/>
        <v>679.63143380709084</v>
      </c>
      <c r="O13" s="19">
        <f>L13*E13*1000/COS(G13*3.14/180)-J13*E13*L2*1000/COS(3.14*G2/180)</f>
        <v>20.241001938963137</v>
      </c>
      <c r="P13" s="20">
        <f t="shared" si="3"/>
        <v>1125</v>
      </c>
    </row>
    <row r="14" spans="1:16" x14ac:dyDescent="0.25">
      <c r="A14">
        <f>'Airfoil Interpolation'!AO16</f>
        <v>3.7427499999999995E-2</v>
      </c>
      <c r="B14">
        <f>'Airfoil Interpolation'!AP16</f>
        <v>3.1192499999999998E-2</v>
      </c>
      <c r="D14">
        <f t="shared" si="4"/>
        <v>1.125</v>
      </c>
      <c r="E14">
        <f t="shared" si="4"/>
        <v>0.46640625000000013</v>
      </c>
      <c r="F14">
        <f t="shared" si="4"/>
        <v>0.6328125</v>
      </c>
      <c r="G14">
        <f t="shared" si="4"/>
        <v>-2.4369435918125348</v>
      </c>
      <c r="J14">
        <f t="shared" si="5"/>
        <v>0</v>
      </c>
      <c r="K14" s="1">
        <f t="shared" si="0"/>
        <v>3.8719314649469663E-2</v>
      </c>
      <c r="L14" s="1">
        <f t="shared" si="1"/>
        <v>2.9600455629471171E-2</v>
      </c>
      <c r="N14" s="25">
        <f t="shared" si="2"/>
        <v>650.88776065739182</v>
      </c>
      <c r="O14" s="19">
        <f>L14*E14*1000/COS(G14*3.14/180)-J14*E14*L2*1000/COS(3.14*G2/180)</f>
        <v>13.818321835600452</v>
      </c>
      <c r="P14" s="20">
        <f t="shared" si="3"/>
        <v>1125</v>
      </c>
    </row>
    <row r="15" spans="1:16" x14ac:dyDescent="0.25">
      <c r="A15">
        <f>'Airfoil Interpolation'!AO17</f>
        <v>1.08425E-2</v>
      </c>
      <c r="B15">
        <f>'Airfoil Interpolation'!AP17</f>
        <v>1.67625E-2</v>
      </c>
      <c r="D15">
        <f t="shared" si="4"/>
        <v>1.125</v>
      </c>
      <c r="E15">
        <f t="shared" si="4"/>
        <v>0.46640625000000013</v>
      </c>
      <c r="F15">
        <f t="shared" si="4"/>
        <v>0.6328125</v>
      </c>
      <c r="G15">
        <f t="shared" si="4"/>
        <v>-2.4369435918125348</v>
      </c>
      <c r="J15">
        <f t="shared" si="5"/>
        <v>0</v>
      </c>
      <c r="K15" s="1">
        <f t="shared" si="0"/>
        <v>1.154508236942974E-2</v>
      </c>
      <c r="L15" s="1">
        <f t="shared" si="1"/>
        <v>1.6301295241801912E-2</v>
      </c>
      <c r="N15" s="25">
        <f t="shared" si="2"/>
        <v>638.20206784301865</v>
      </c>
      <c r="O15" s="19">
        <f>L15*E15*1000/COS(G15*3.14/180)-J15*E15*L2*1000/COS(3.14*G2/180)</f>
        <v>7.6099012396312045</v>
      </c>
      <c r="P15" s="20">
        <f t="shared" si="3"/>
        <v>1125</v>
      </c>
    </row>
    <row r="16" spans="1:16" x14ac:dyDescent="0.25">
      <c r="A16">
        <f>'Airfoil Interpolation'!AO18</f>
        <v>1.1649999999999998E-3</v>
      </c>
      <c r="B16">
        <f>'Airfoil Interpolation'!AP18</f>
        <v>5.8049999999999994E-3</v>
      </c>
      <c r="D16">
        <f t="shared" si="4"/>
        <v>1.125</v>
      </c>
      <c r="E16">
        <f t="shared" si="4"/>
        <v>0.46640625000000013</v>
      </c>
      <c r="F16">
        <f t="shared" si="4"/>
        <v>0.6328125</v>
      </c>
      <c r="G16">
        <f t="shared" si="4"/>
        <v>-2.4369435918125348</v>
      </c>
      <c r="J16">
        <f t="shared" si="5"/>
        <v>0</v>
      </c>
      <c r="K16" s="1">
        <f t="shared" si="0"/>
        <v>1.4106502373458243E-3</v>
      </c>
      <c r="L16" s="1">
        <f t="shared" si="1"/>
        <v>5.7554446812726982E-3</v>
      </c>
      <c r="N16" s="25">
        <f t="shared" si="2"/>
        <v>633.47103104496477</v>
      </c>
      <c r="O16" s="19">
        <f>L16*E16*1000/COS(G16*3.14/180)-J16*E16*L2*1000/COS(3.14*G2/180)</f>
        <v>2.686802794806908</v>
      </c>
      <c r="P16" s="20">
        <f t="shared" si="3"/>
        <v>1125</v>
      </c>
    </row>
    <row r="17" spans="1:16" x14ac:dyDescent="0.25">
      <c r="A17">
        <f>'Airfoil Interpolation'!AO19</f>
        <v>9.1999999999999992E-4</v>
      </c>
      <c r="B17">
        <f>'Airfoil Interpolation'!AP19</f>
        <v>-4.0599999999999994E-3</v>
      </c>
      <c r="D17">
        <f t="shared" si="4"/>
        <v>1.125</v>
      </c>
      <c r="E17">
        <f t="shared" si="4"/>
        <v>0.46640625000000013</v>
      </c>
      <c r="F17">
        <f t="shared" si="4"/>
        <v>0.6328125</v>
      </c>
      <c r="G17">
        <f t="shared" si="4"/>
        <v>-2.4369435918125348</v>
      </c>
      <c r="J17">
        <f t="shared" si="5"/>
        <v>0</v>
      </c>
      <c r="K17" s="1">
        <f t="shared" si="0"/>
        <v>7.4662561988095158E-4</v>
      </c>
      <c r="L17" s="1">
        <f t="shared" si="1"/>
        <v>-4.0991338139305718E-3</v>
      </c>
      <c r="N17" s="25">
        <f t="shared" si="2"/>
        <v>633.16104575332781</v>
      </c>
      <c r="O17" s="19">
        <f>L17*E17*1000/COS(G17*3.14/180)-J17*E17*L2*1000/COS(3.14*G2/180)</f>
        <v>-1.913590486481878</v>
      </c>
      <c r="P17" s="20">
        <f t="shared" si="3"/>
        <v>1125</v>
      </c>
    </row>
    <row r="18" spans="1:16" x14ac:dyDescent="0.25">
      <c r="A18">
        <f>'Airfoil Interpolation'!AO20</f>
        <v>9.9924999999999996E-3</v>
      </c>
      <c r="B18">
        <f>'Airfoil Interpolation'!AP20</f>
        <v>-1.42375E-2</v>
      </c>
      <c r="D18">
        <f t="shared" si="4"/>
        <v>1.125</v>
      </c>
      <c r="E18">
        <f t="shared" si="4"/>
        <v>0.46640625000000013</v>
      </c>
      <c r="F18">
        <f t="shared" si="4"/>
        <v>0.6328125</v>
      </c>
      <c r="G18">
        <f t="shared" si="4"/>
        <v>-2.4369435918125348</v>
      </c>
      <c r="J18">
        <f t="shared" si="5"/>
        <v>0</v>
      </c>
      <c r="K18" s="1">
        <f t="shared" si="0"/>
        <v>9.3784022700225244E-3</v>
      </c>
      <c r="L18" s="1">
        <f t="shared" si="1"/>
        <v>-1.4662548517066576E-2</v>
      </c>
      <c r="N18" s="25">
        <f t="shared" si="2"/>
        <v>637.19060088105095</v>
      </c>
      <c r="O18" s="19">
        <f>L18*E18*1000/COS(G18*3.14/180)-J18*E18*L2*1000/COS(3.14*G2/180)</f>
        <v>-6.8448883650698011</v>
      </c>
      <c r="P18" s="20">
        <f t="shared" si="3"/>
        <v>1125</v>
      </c>
    </row>
    <row r="19" spans="1:16" x14ac:dyDescent="0.25">
      <c r="A19">
        <f>'Airfoil Interpolation'!AO21</f>
        <v>3.4999999999999996E-2</v>
      </c>
      <c r="B19">
        <f>'Airfoil Interpolation'!AP21</f>
        <v>-2.563E-2</v>
      </c>
      <c r="D19">
        <f t="shared" si="4"/>
        <v>1.125</v>
      </c>
      <c r="E19">
        <f t="shared" si="4"/>
        <v>0.46640625000000013</v>
      </c>
      <c r="F19">
        <f t="shared" si="4"/>
        <v>0.6328125</v>
      </c>
      <c r="G19">
        <f t="shared" si="4"/>
        <v>-2.4369435918125348</v>
      </c>
      <c r="J19">
        <f t="shared" si="5"/>
        <v>0</v>
      </c>
      <c r="K19" s="1">
        <f t="shared" si="0"/>
        <v>3.387914679135879E-2</v>
      </c>
      <c r="L19" s="1">
        <f t="shared" si="1"/>
        <v>-2.7118786399532673E-2</v>
      </c>
      <c r="N19" s="25">
        <f t="shared" si="2"/>
        <v>648.62823472174659</v>
      </c>
      <c r="O19" s="19">
        <f>L19*E19*1000/COS(G19*3.14/180)-J19*E19*L2*1000/COS(3.14*G2/180)</f>
        <v>-12.659809124240219</v>
      </c>
      <c r="P19" s="20">
        <f t="shared" si="3"/>
        <v>1125</v>
      </c>
    </row>
    <row r="20" spans="1:16" x14ac:dyDescent="0.25">
      <c r="A20">
        <f>'Airfoil Interpolation'!AO22</f>
        <v>9.4684999999999991E-2</v>
      </c>
      <c r="B20">
        <f>'Airfoil Interpolation'!AP22</f>
        <v>-3.9162500000000003E-2</v>
      </c>
      <c r="D20">
        <f t="shared" ref="D20:G31" si="6">D19</f>
        <v>1.125</v>
      </c>
      <c r="E20">
        <f t="shared" si="6"/>
        <v>0.46640625000000013</v>
      </c>
      <c r="F20">
        <f t="shared" si="6"/>
        <v>0.6328125</v>
      </c>
      <c r="G20">
        <f t="shared" si="6"/>
        <v>-2.4369435918125348</v>
      </c>
      <c r="J20">
        <f t="shared" si="5"/>
        <v>0</v>
      </c>
      <c r="K20" s="1">
        <f t="shared" si="0"/>
        <v>9.293511509976865E-2</v>
      </c>
      <c r="L20" s="1">
        <f t="shared" si="1"/>
        <v>-4.3190092578278598E-2</v>
      </c>
      <c r="N20" s="25">
        <f t="shared" si="2"/>
        <v>676.19721496359591</v>
      </c>
      <c r="O20" s="19">
        <f>L20*E20*1000/COS(G20*3.14/180)-J20*E20*L2*1000/COS(3.14*G2/180)</f>
        <v>-20.162345026940201</v>
      </c>
      <c r="P20" s="20">
        <f t="shared" si="3"/>
        <v>1125</v>
      </c>
    </row>
    <row r="21" spans="1:16" x14ac:dyDescent="0.25">
      <c r="A21">
        <f>'Airfoil Interpolation'!AO23</f>
        <v>0.17555749999999998</v>
      </c>
      <c r="B21">
        <f>'Airfoil Interpolation'!AP23</f>
        <v>-4.7137499999999999E-2</v>
      </c>
      <c r="D21">
        <f t="shared" si="6"/>
        <v>1.125</v>
      </c>
      <c r="E21">
        <f t="shared" si="6"/>
        <v>0.46640625000000013</v>
      </c>
      <c r="F21">
        <f t="shared" si="6"/>
        <v>0.6328125</v>
      </c>
      <c r="G21">
        <f t="shared" si="6"/>
        <v>-2.4369435918125348</v>
      </c>
      <c r="J21">
        <f t="shared" si="5"/>
        <v>0</v>
      </c>
      <c r="K21" s="1">
        <f t="shared" si="0"/>
        <v>0.17339562574465014</v>
      </c>
      <c r="L21" s="1">
        <f t="shared" si="1"/>
        <v>-5.4605146238170192E-2</v>
      </c>
      <c r="N21" s="25">
        <f t="shared" si="2"/>
        <v>713.7584351375433</v>
      </c>
      <c r="O21" s="19">
        <f>L21*E21*1000/COS(G21*3.14/180)-J21*E21*L2*1000/COS(3.14*G2/180)</f>
        <v>-25.49121182607092</v>
      </c>
      <c r="P21" s="20">
        <f t="shared" si="3"/>
        <v>1125</v>
      </c>
    </row>
    <row r="22" spans="1:16" x14ac:dyDescent="0.25">
      <c r="A22">
        <f>'Airfoil Interpolation'!AO24</f>
        <v>0.26047500000000001</v>
      </c>
      <c r="B22">
        <f>'Airfoil Interpolation'!AP24</f>
        <v>-5.0155000000000005E-2</v>
      </c>
      <c r="D22">
        <f t="shared" si="6"/>
        <v>1.125</v>
      </c>
      <c r="E22">
        <f t="shared" si="6"/>
        <v>0.46640625000000013</v>
      </c>
      <c r="F22">
        <f t="shared" si="6"/>
        <v>0.6328125</v>
      </c>
      <c r="G22">
        <f t="shared" si="6"/>
        <v>-2.4369435918125348</v>
      </c>
      <c r="J22">
        <f t="shared" si="5"/>
        <v>0</v>
      </c>
      <c r="K22" s="1">
        <f t="shared" si="0"/>
        <v>0.25810816732709752</v>
      </c>
      <c r="L22" s="1">
        <f t="shared" si="1"/>
        <v>-6.1234761069093493E-2</v>
      </c>
      <c r="N22" s="25">
        <f t="shared" si="2"/>
        <v>753.30462245813555</v>
      </c>
      <c r="O22" s="19">
        <f>L22*E22*1000/COS(G22*3.14/180)-J22*E22*L2*1000/COS(3.14*G2/180)</f>
        <v>-28.586101733392415</v>
      </c>
      <c r="P22" s="20">
        <f t="shared" si="3"/>
        <v>1125</v>
      </c>
    </row>
    <row r="23" spans="1:16" x14ac:dyDescent="0.25">
      <c r="A23">
        <f>'Airfoil Interpolation'!AO25</f>
        <v>0.34665999999999997</v>
      </c>
      <c r="B23">
        <f>'Airfoil Interpolation'!AP25</f>
        <v>-5.0075000000000001E-2</v>
      </c>
      <c r="D23">
        <f t="shared" si="6"/>
        <v>1.125</v>
      </c>
      <c r="E23">
        <f t="shared" si="6"/>
        <v>0.46640625000000013</v>
      </c>
      <c r="F23">
        <f t="shared" si="6"/>
        <v>0.6328125</v>
      </c>
      <c r="G23">
        <f t="shared" si="6"/>
        <v>-2.4369435918125348</v>
      </c>
      <c r="J23">
        <f t="shared" si="5"/>
        <v>0</v>
      </c>
      <c r="K23" s="1">
        <f t="shared" si="0"/>
        <v>0.3442187023299903</v>
      </c>
      <c r="L23" s="1">
        <f t="shared" si="1"/>
        <v>-6.482079123605701E-2</v>
      </c>
      <c r="N23" s="25">
        <f t="shared" si="2"/>
        <v>793.50343226702921</v>
      </c>
      <c r="O23" s="19">
        <f>L23*E23*1000/COS(G23*3.14/180)-J23*E23*L2*1000/COS(3.14*G2/180)</f>
        <v>-30.260161064760862</v>
      </c>
      <c r="P23" s="20">
        <f t="shared" si="3"/>
        <v>1125</v>
      </c>
    </row>
    <row r="24" spans="1:16" x14ac:dyDescent="0.25">
      <c r="A24">
        <f>'Airfoil Interpolation'!AO26</f>
        <v>0.433475</v>
      </c>
      <c r="B24">
        <f>'Airfoil Interpolation'!AP26</f>
        <v>-4.7629999999999999E-2</v>
      </c>
      <c r="D24">
        <f t="shared" si="6"/>
        <v>1.125</v>
      </c>
      <c r="E24">
        <f t="shared" si="6"/>
        <v>0.46640625000000013</v>
      </c>
      <c r="F24">
        <f t="shared" si="6"/>
        <v>0.6328125</v>
      </c>
      <c r="G24">
        <f t="shared" si="6"/>
        <v>-2.4369435918125348</v>
      </c>
      <c r="J24">
        <f t="shared" si="5"/>
        <v>0</v>
      </c>
      <c r="K24" s="1">
        <f t="shared" si="0"/>
        <v>0.43105917668800076</v>
      </c>
      <c r="L24" s="1">
        <f t="shared" si="1"/>
        <v>-6.6068619558212111E-2</v>
      </c>
      <c r="N24" s="25">
        <f t="shared" si="2"/>
        <v>834.04299821345512</v>
      </c>
      <c r="O24" s="19">
        <f>L24*E24*1000/COS(G24*3.14/180)-J24*E24*L2*1000/COS(3.14*G2/180)</f>
        <v>-30.842682278858288</v>
      </c>
      <c r="P24" s="20">
        <f t="shared" si="3"/>
        <v>1125</v>
      </c>
    </row>
    <row r="25" spans="1:16" x14ac:dyDescent="0.25">
      <c r="A25">
        <f>'Airfoil Interpolation'!AO27</f>
        <v>0.52072750000000001</v>
      </c>
      <c r="B25">
        <f>'Airfoil Interpolation'!AP27</f>
        <v>-4.3402500000000004E-2</v>
      </c>
      <c r="D25">
        <f t="shared" si="6"/>
        <v>1.125</v>
      </c>
      <c r="E25">
        <f t="shared" si="6"/>
        <v>0.46640625000000013</v>
      </c>
      <c r="F25">
        <f t="shared" si="6"/>
        <v>0.6328125</v>
      </c>
      <c r="G25">
        <f t="shared" si="6"/>
        <v>-2.4369435918125348</v>
      </c>
      <c r="J25">
        <f t="shared" si="5"/>
        <v>0</v>
      </c>
      <c r="K25" s="1">
        <f t="shared" si="0"/>
        <v>0.51841250904384995</v>
      </c>
      <c r="L25" s="1">
        <f t="shared" si="1"/>
        <v>-6.5552557710361392E-2</v>
      </c>
      <c r="N25" s="25">
        <f t="shared" si="2"/>
        <v>874.82198063910027</v>
      </c>
      <c r="O25" s="19">
        <f>L25*E25*1000/COS(G25*3.14/180)-J25*E25*L2*1000/COS(3.14*G2/180)</f>
        <v>-30.60177015270926</v>
      </c>
      <c r="P25" s="20">
        <f t="shared" si="3"/>
        <v>1125</v>
      </c>
    </row>
    <row r="26" spans="1:16" x14ac:dyDescent="0.25">
      <c r="A26">
        <f>'Airfoil Interpolation'!AO28</f>
        <v>0.60818000000000005</v>
      </c>
      <c r="B26">
        <f>'Airfoil Interpolation'!AP28</f>
        <v>-3.7812499999999999E-2</v>
      </c>
      <c r="D26">
        <f t="shared" si="6"/>
        <v>1.125</v>
      </c>
      <c r="E26">
        <f t="shared" si="6"/>
        <v>0.46640625000000013</v>
      </c>
      <c r="F26">
        <f t="shared" si="6"/>
        <v>0.6328125</v>
      </c>
      <c r="G26">
        <f t="shared" si="6"/>
        <v>-2.4369435918125348</v>
      </c>
      <c r="J26">
        <f t="shared" si="5"/>
        <v>0</v>
      </c>
      <c r="K26" s="1">
        <f t="shared" si="0"/>
        <v>0.60602356467368379</v>
      </c>
      <c r="L26" s="1">
        <f t="shared" si="1"/>
        <v>-6.3682503213365133E-2</v>
      </c>
      <c r="N26" s="25">
        <f t="shared" si="2"/>
        <v>915.72127550820994</v>
      </c>
      <c r="O26" s="19">
        <f>L26*E26*1000/COS(G26*3.14/180)-J26*E26*L2*1000/COS(3.14*G2/180)</f>
        <v>-29.728776330820985</v>
      </c>
      <c r="P26" s="20">
        <f t="shared" si="3"/>
        <v>1125</v>
      </c>
    </row>
    <row r="27" spans="1:16" x14ac:dyDescent="0.25">
      <c r="A27">
        <f>'Airfoil Interpolation'!AO29</f>
        <v>0.6957025</v>
      </c>
      <c r="B27">
        <f>'Airfoil Interpolation'!AP29</f>
        <v>-3.1082499999999999E-2</v>
      </c>
      <c r="D27">
        <f t="shared" si="6"/>
        <v>1.125</v>
      </c>
      <c r="E27">
        <f t="shared" si="6"/>
        <v>0.46640625000000013</v>
      </c>
      <c r="F27">
        <f t="shared" si="6"/>
        <v>0.6328125</v>
      </c>
      <c r="G27">
        <f t="shared" si="6"/>
        <v>-2.4369435918125348</v>
      </c>
      <c r="J27">
        <f t="shared" si="5"/>
        <v>0</v>
      </c>
      <c r="K27" s="1">
        <f t="shared" si="0"/>
        <v>0.69375300515047222</v>
      </c>
      <c r="L27" s="1">
        <f t="shared" si="1"/>
        <v>-6.0675426289167923E-2</v>
      </c>
      <c r="N27" s="25">
        <f t="shared" si="2"/>
        <v>956.67583573999354</v>
      </c>
      <c r="O27" s="19">
        <f>L27*E27*1000/COS(G27*3.14/180)-J27*E27*L2*1000/COS(3.14*G2/180)</f>
        <v>-28.324988590419004</v>
      </c>
      <c r="P27" s="20">
        <f t="shared" si="3"/>
        <v>1125</v>
      </c>
    </row>
    <row r="28" spans="1:16" x14ac:dyDescent="0.25">
      <c r="A28">
        <f>'Airfoil Interpolation'!AO30</f>
        <v>0.78321249999999998</v>
      </c>
      <c r="B28">
        <f>'Airfoil Interpolation'!AP30</f>
        <v>-2.3432500000000002E-2</v>
      </c>
      <c r="D28">
        <f t="shared" si="6"/>
        <v>1.125</v>
      </c>
      <c r="E28">
        <f t="shared" si="6"/>
        <v>0.46640625000000013</v>
      </c>
      <c r="F28">
        <f t="shared" si="6"/>
        <v>0.6328125</v>
      </c>
      <c r="G28">
        <f t="shared" si="6"/>
        <v>-2.4369435918125348</v>
      </c>
      <c r="J28">
        <f t="shared" si="5"/>
        <v>0</v>
      </c>
      <c r="K28" s="1">
        <f t="shared" si="0"/>
        <v>0.78150905537855531</v>
      </c>
      <c r="L28" s="1">
        <f t="shared" si="1"/>
        <v>-5.6747817655542321E-2</v>
      </c>
      <c r="N28" s="25">
        <f t="shared" si="2"/>
        <v>997.64281814905576</v>
      </c>
      <c r="O28" s="19">
        <f>L28*E28*1000/COS(G28*3.14/180)-J28*E28*L2*1000/COS(3.14*G2/180)</f>
        <v>-26.491470862749782</v>
      </c>
      <c r="P28" s="20">
        <f t="shared" si="3"/>
        <v>1125</v>
      </c>
    </row>
    <row r="29" spans="1:16" x14ac:dyDescent="0.25">
      <c r="A29">
        <f>'Airfoil Interpolation'!AO31</f>
        <v>0.87063749999999995</v>
      </c>
      <c r="B29">
        <f>'Airfoil Interpolation'!AP31</f>
        <v>-1.487E-2</v>
      </c>
      <c r="D29">
        <f t="shared" si="6"/>
        <v>1.125</v>
      </c>
      <c r="E29">
        <f t="shared" si="6"/>
        <v>0.46640625000000013</v>
      </c>
      <c r="F29">
        <f t="shared" si="6"/>
        <v>0.6328125</v>
      </c>
      <c r="G29">
        <f t="shared" si="6"/>
        <v>-2.4369435918125348</v>
      </c>
      <c r="J29">
        <f t="shared" si="5"/>
        <v>0</v>
      </c>
      <c r="K29" s="1">
        <f t="shared" si="0"/>
        <v>0.86921896212149063</v>
      </c>
      <c r="L29" s="1">
        <f t="shared" si="1"/>
        <v>-5.1904093397803566E-2</v>
      </c>
      <c r="N29" s="25">
        <f t="shared" si="2"/>
        <v>1038.5882594867112</v>
      </c>
      <c r="O29" s="19">
        <f>L29*E29*1000/COS(G29*3.14/180)-J29*E29*L2*1000/COS(3.14*G2/180)</f>
        <v>-24.230284700138853</v>
      </c>
      <c r="P29" s="20">
        <f t="shared" si="3"/>
        <v>1125</v>
      </c>
    </row>
    <row r="30" spans="1:16" x14ac:dyDescent="0.25">
      <c r="A30">
        <f>'Airfoil Interpolation'!AO32</f>
        <v>0.95648</v>
      </c>
      <c r="B30">
        <f>'Airfoil Interpolation'!AP32</f>
        <v>-5.6600000000000001E-3</v>
      </c>
      <c r="D30">
        <f t="shared" si="6"/>
        <v>1.125</v>
      </c>
      <c r="E30">
        <f t="shared" si="6"/>
        <v>0.46640625000000013</v>
      </c>
      <c r="F30">
        <f t="shared" si="6"/>
        <v>0.6328125</v>
      </c>
      <c r="G30">
        <f t="shared" si="6"/>
        <v>-2.4369435918125348</v>
      </c>
      <c r="J30">
        <f t="shared" si="5"/>
        <v>0</v>
      </c>
      <c r="K30" s="1">
        <f t="shared" si="0"/>
        <v>0.95537531625761607</v>
      </c>
      <c r="L30" s="1">
        <f t="shared" si="1"/>
        <v>-4.6345554726428803E-2</v>
      </c>
      <c r="N30" s="25">
        <f t="shared" si="2"/>
        <v>1078.8084589504522</v>
      </c>
      <c r="O30" s="19">
        <f>L30*E30*1000/COS(G30*3.14/180)-J30*E30*L2*1000/COS(3.14*G2/180)</f>
        <v>-21.635403146349077</v>
      </c>
      <c r="P30" s="20">
        <f t="shared" si="3"/>
        <v>1125</v>
      </c>
    </row>
    <row r="31" spans="1:16" ht="15.75" thickBot="1" x14ac:dyDescent="0.3">
      <c r="A31">
        <v>1</v>
      </c>
      <c r="B31">
        <v>-8.0999999999999996E-4</v>
      </c>
      <c r="D31">
        <f t="shared" si="6"/>
        <v>1.125</v>
      </c>
      <c r="E31">
        <f t="shared" si="6"/>
        <v>0.46640625000000013</v>
      </c>
      <c r="F31">
        <f t="shared" si="6"/>
        <v>0.6328125</v>
      </c>
      <c r="G31">
        <f t="shared" si="6"/>
        <v>-2.4369435918125348</v>
      </c>
      <c r="J31">
        <f t="shared" si="5"/>
        <v>0</v>
      </c>
      <c r="K31" s="1">
        <f t="shared" si="0"/>
        <v>0.99906211446723625</v>
      </c>
      <c r="L31" s="1">
        <f t="shared" si="1"/>
        <v>-4.3346754272361995E-2</v>
      </c>
      <c r="N31" s="26">
        <f t="shared" si="2"/>
        <v>1099.2026800794818</v>
      </c>
      <c r="O31" s="27">
        <f>L31*E31*1000/COS(G31*3.14/180)-J31*E31*L2*1000/COS(3.14*G2/180)</f>
        <v>-20.235479094038798</v>
      </c>
      <c r="P31" s="28">
        <f t="shared" si="3"/>
        <v>1125</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workbookViewId="0">
      <selection activeCell="V27" sqref="V27"/>
    </sheetView>
  </sheetViews>
  <sheetFormatPr defaultRowHeight="15" x14ac:dyDescent="0.25"/>
  <sheetData>
    <row r="1" spans="1:22" ht="15.75" thickBot="1" x14ac:dyDescent="0.3">
      <c r="A1">
        <v>11</v>
      </c>
      <c r="D1" t="s">
        <v>0</v>
      </c>
      <c r="E1" t="s">
        <v>1</v>
      </c>
      <c r="F1" t="s">
        <v>2</v>
      </c>
      <c r="G1" t="s">
        <v>5</v>
      </c>
      <c r="J1" t="s">
        <v>10</v>
      </c>
      <c r="K1" t="s">
        <v>9</v>
      </c>
      <c r="N1" s="6" t="s">
        <v>6</v>
      </c>
      <c r="O1" s="6" t="s">
        <v>7</v>
      </c>
      <c r="P1" s="6" t="s">
        <v>8</v>
      </c>
    </row>
    <row r="2" spans="1:22" x14ac:dyDescent="0.25">
      <c r="A2">
        <f>'Airfoil Interpolation'!AS4</f>
        <v>1</v>
      </c>
      <c r="B2">
        <f>'Airfoil Interpolation'!AT4</f>
        <v>8.9833333333333323E-4</v>
      </c>
      <c r="D2" s="4">
        <f>'Loft Viewer'!L5</f>
        <v>1.25</v>
      </c>
      <c r="E2" s="4">
        <f>'Loft Viewer'!L6</f>
        <v>0.36354166666666665</v>
      </c>
      <c r="F2" s="4">
        <f>'Loft Viewer'!L7</f>
        <v>0.78125</v>
      </c>
      <c r="G2" s="4">
        <f>-'Loft Viewer'!L8</f>
        <v>-0.69468425691597802</v>
      </c>
      <c r="J2">
        <f>'Loft Viewer'!B2</f>
        <v>0</v>
      </c>
      <c r="K2" s="1">
        <f>((A2)*COS(3.14*G2/180)-B2*SIN(3.14*G2/180))</f>
        <v>0.99993745939954215</v>
      </c>
      <c r="L2" s="1">
        <f>((A2)*SIN(3.14*G2/180)+B2*COS(3.14*G2/180))/COS(3.14*G2/180)</f>
        <v>-1.122064084329129E-2</v>
      </c>
      <c r="N2" s="22">
        <f>K2*E2*1000/COS(G2*3.14/180)+F2*1000</f>
        <v>1144.7956245006098</v>
      </c>
      <c r="O2" s="23">
        <f>L2*E2*1000/COS(G2*3.14/180)-J2*E2*L2*1000/COS(3.14*G2/180)</f>
        <v>-4.0794700151756818</v>
      </c>
      <c r="P2" s="24">
        <f>D2*1000</f>
        <v>1250</v>
      </c>
      <c r="V2" s="5"/>
    </row>
    <row r="3" spans="1:22" x14ac:dyDescent="0.25">
      <c r="A3">
        <f>'Airfoil Interpolation'!AS5</f>
        <v>0.9570616666666667</v>
      </c>
      <c r="B3">
        <f>'Airfoil Interpolation'!AT5</f>
        <v>5.7766666666666669E-3</v>
      </c>
      <c r="D3">
        <f>D2</f>
        <v>1.25</v>
      </c>
      <c r="E3">
        <f>E2</f>
        <v>0.36354166666666665</v>
      </c>
      <c r="F3">
        <f>F2</f>
        <v>0.78125</v>
      </c>
      <c r="G3">
        <f>G2</f>
        <v>-0.69468425691597802</v>
      </c>
      <c r="J3">
        <f>J2</f>
        <v>0</v>
      </c>
      <c r="K3" s="1">
        <f t="shared" ref="K3:K31" si="0">((A3)*COS(3.14*G3/180)-B3*SIN(3.14*G3/180))</f>
        <v>0.95706139494012776</v>
      </c>
      <c r="L3" s="1">
        <f t="shared" ref="L3:L31" si="1">((A3)*SIN(3.14*G3/180)+B3*COS(3.14*G3/180))/COS(3.14*G3/180)</f>
        <v>-5.8219389571039894E-3</v>
      </c>
      <c r="N3" s="25">
        <f t="shared" ref="N3:N31" si="2">K3*E3*1000/COS(G3*3.14/180)+F3*1000</f>
        <v>1129.2072439639048</v>
      </c>
      <c r="O3" s="19">
        <f>L3*E3*1000/COS(G3*3.14/180)-J3*E3*L2*1000/COS(3.14*G2/180)</f>
        <v>-2.1166728119534319</v>
      </c>
      <c r="P3" s="20">
        <f t="shared" ref="P3:P31" si="3">D3*1000</f>
        <v>1250</v>
      </c>
    </row>
    <row r="4" spans="1:22" x14ac:dyDescent="0.25">
      <c r="A4">
        <f>'Airfoil Interpolation'!AS6</f>
        <v>0.87119499999999994</v>
      </c>
      <c r="B4">
        <f>'Airfoil Interpolation'!AT6</f>
        <v>1.5123333333333334E-2</v>
      </c>
      <c r="D4">
        <f t="shared" ref="D4:G19" si="4">D3</f>
        <v>1.25</v>
      </c>
      <c r="E4">
        <f t="shared" si="4"/>
        <v>0.36354166666666665</v>
      </c>
      <c r="F4">
        <f t="shared" si="4"/>
        <v>0.78125</v>
      </c>
      <c r="G4">
        <f t="shared" si="4"/>
        <v>-0.69468425691597802</v>
      </c>
      <c r="J4">
        <f t="shared" ref="J4:J31" si="5">J3</f>
        <v>0</v>
      </c>
      <c r="K4" s="1">
        <f t="shared" si="0"/>
        <v>0.87131429687246065</v>
      </c>
      <c r="L4" s="1">
        <f t="shared" si="1"/>
        <v>4.565343625528847E-3</v>
      </c>
      <c r="N4" s="25">
        <f t="shared" si="2"/>
        <v>1098.0323119488123</v>
      </c>
      <c r="O4" s="19">
        <f>L4*E4*1000/COS(G4*3.14/180)-J4*E4*L2*1000/COS(3.14*G2/180)</f>
        <v>1.6598145051985671</v>
      </c>
      <c r="P4" s="20">
        <f t="shared" si="3"/>
        <v>1250</v>
      </c>
    </row>
    <row r="5" spans="1:22" x14ac:dyDescent="0.25">
      <c r="A5">
        <f>'Airfoil Interpolation'!AS7</f>
        <v>0.78370666666666666</v>
      </c>
      <c r="B5">
        <f>'Airfoil Interpolation'!AT7</f>
        <v>2.4191666666666667E-2</v>
      </c>
      <c r="D5">
        <f t="shared" si="4"/>
        <v>1.25</v>
      </c>
      <c r="E5">
        <f t="shared" si="4"/>
        <v>0.36354166666666665</v>
      </c>
      <c r="F5">
        <f t="shared" si="4"/>
        <v>0.78125</v>
      </c>
      <c r="G5">
        <f t="shared" si="4"/>
        <v>-0.69468425691597802</v>
      </c>
      <c r="J5">
        <f t="shared" si="5"/>
        <v>0</v>
      </c>
      <c r="K5" s="1">
        <f t="shared" si="0"/>
        <v>0.78394227834492292</v>
      </c>
      <c r="L5" s="1">
        <f t="shared" si="1"/>
        <v>1.4693945811284774E-2</v>
      </c>
      <c r="N5" s="25">
        <f t="shared" si="2"/>
        <v>1066.2666102632825</v>
      </c>
      <c r="O5" s="19">
        <f>L5*E5*1000/COS(G5*3.14/180)-J5*E5*L2*1000/COS(3.14*G2/180)</f>
        <v>5.3422538141029774</v>
      </c>
      <c r="P5" s="20">
        <f t="shared" si="3"/>
        <v>1250</v>
      </c>
    </row>
    <row r="6" spans="1:22" x14ac:dyDescent="0.25">
      <c r="A6">
        <f>'Airfoil Interpolation'!AS8</f>
        <v>0.69615166666666672</v>
      </c>
      <c r="B6">
        <f>'Airfoil Interpolation'!AT8</f>
        <v>3.2818333333333331E-2</v>
      </c>
      <c r="D6">
        <f t="shared" si="4"/>
        <v>1.25</v>
      </c>
      <c r="E6">
        <f t="shared" si="4"/>
        <v>0.36354166666666665</v>
      </c>
      <c r="F6">
        <f t="shared" si="4"/>
        <v>0.78125</v>
      </c>
      <c r="G6">
        <f t="shared" si="4"/>
        <v>-0.69468425691597802</v>
      </c>
      <c r="J6">
        <f t="shared" si="5"/>
        <v>0</v>
      </c>
      <c r="K6" s="1">
        <f t="shared" si="0"/>
        <v>0.69649824589192244</v>
      </c>
      <c r="L6" s="1">
        <f t="shared" si="1"/>
        <v>2.4381689261985803E-2</v>
      </c>
      <c r="N6" s="25">
        <f t="shared" si="2"/>
        <v>1034.4747265928102</v>
      </c>
      <c r="O6" s="19">
        <f>L6*E6*1000/COS(G6*3.14/180)-J6*E6*L2*1000/COS(3.14*G2/180)</f>
        <v>8.864410834704751</v>
      </c>
      <c r="P6" s="20">
        <f t="shared" si="3"/>
        <v>1250</v>
      </c>
    </row>
    <row r="7" spans="1:22" x14ac:dyDescent="0.25">
      <c r="A7">
        <f>'Airfoil Interpolation'!AS9</f>
        <v>0.6086516666666667</v>
      </c>
      <c r="B7">
        <f>'Airfoil Interpolation'!AT9</f>
        <v>4.0953333333333335E-2</v>
      </c>
      <c r="D7">
        <f t="shared" si="4"/>
        <v>1.25</v>
      </c>
      <c r="E7">
        <f t="shared" si="4"/>
        <v>0.36354166666666665</v>
      </c>
      <c r="F7">
        <f t="shared" si="4"/>
        <v>0.78125</v>
      </c>
      <c r="G7">
        <f t="shared" si="4"/>
        <v>-0.69468425691597802</v>
      </c>
      <c r="J7">
        <f t="shared" si="5"/>
        <v>0</v>
      </c>
      <c r="K7" s="1">
        <f t="shared" si="0"/>
        <v>0.60910325134233012</v>
      </c>
      <c r="L7" s="1">
        <f t="shared" si="1"/>
        <v>3.3577099502440463E-2</v>
      </c>
      <c r="N7" s="25">
        <f t="shared" si="2"/>
        <v>1002.70067155257</v>
      </c>
      <c r="O7" s="19">
        <f>L7*E7*1000/COS(G7*3.14/180)-J7*E7*L2*1000/COS(3.14*G2/180)</f>
        <v>12.207571076359084</v>
      </c>
      <c r="P7" s="20">
        <f t="shared" si="3"/>
        <v>1250</v>
      </c>
    </row>
    <row r="8" spans="1:22" x14ac:dyDescent="0.25">
      <c r="A8">
        <f>'Airfoil Interpolation'!AS10</f>
        <v>0.52129166666666671</v>
      </c>
      <c r="B8">
        <f>'Airfoil Interpolation'!AT10</f>
        <v>4.8226666666666668E-2</v>
      </c>
      <c r="D8">
        <f t="shared" si="4"/>
        <v>1.25</v>
      </c>
      <c r="E8">
        <f t="shared" si="4"/>
        <v>0.36354166666666665</v>
      </c>
      <c r="F8">
        <f t="shared" si="4"/>
        <v>0.78125</v>
      </c>
      <c r="G8">
        <f t="shared" si="4"/>
        <v>-0.69468425691597802</v>
      </c>
      <c r="J8">
        <f t="shared" si="5"/>
        <v>0</v>
      </c>
      <c r="K8" s="1">
        <f t="shared" si="0"/>
        <v>0.52183780476367969</v>
      </c>
      <c r="L8" s="1">
        <f t="shared" si="1"/>
        <v>4.1909146419843724E-2</v>
      </c>
      <c r="N8" s="25">
        <f t="shared" si="2"/>
        <v>970.97371605596254</v>
      </c>
      <c r="O8" s="19">
        <f>L8*E8*1000/COS(G8*3.14/180)-J8*E8*L2*1000/COS(3.14*G2/180)</f>
        <v>15.236839728595292</v>
      </c>
      <c r="P8" s="20">
        <f t="shared" si="3"/>
        <v>1250</v>
      </c>
    </row>
    <row r="9" spans="1:22" x14ac:dyDescent="0.25">
      <c r="A9">
        <f>'Airfoil Interpolation'!AS11</f>
        <v>0.43421500000000002</v>
      </c>
      <c r="B9">
        <f>'Airfoil Interpolation'!AT11</f>
        <v>5.389E-2</v>
      </c>
      <c r="D9">
        <f t="shared" si="4"/>
        <v>1.25</v>
      </c>
      <c r="E9">
        <f t="shared" si="4"/>
        <v>0.36354166666666665</v>
      </c>
      <c r="F9">
        <f t="shared" si="4"/>
        <v>0.78125</v>
      </c>
      <c r="G9">
        <f t="shared" si="4"/>
        <v>-0.69468425691597802</v>
      </c>
      <c r="J9">
        <f t="shared" si="5"/>
        <v>0</v>
      </c>
      <c r="K9" s="1">
        <f t="shared" si="0"/>
        <v>0.43483616059838059</v>
      </c>
      <c r="L9" s="1">
        <f t="shared" si="1"/>
        <v>4.8627759627896942E-2</v>
      </c>
      <c r="N9" s="25">
        <f t="shared" si="2"/>
        <v>939.34267077074378</v>
      </c>
      <c r="O9" s="19">
        <f>L9*E9*1000/COS(G9*3.14/180)-J9*E9*L2*1000/COS(3.14*G2/180)</f>
        <v>17.679514929468834</v>
      </c>
      <c r="P9" s="20">
        <f t="shared" si="3"/>
        <v>1250</v>
      </c>
    </row>
    <row r="10" spans="1:22" x14ac:dyDescent="0.25">
      <c r="A10">
        <f>'Airfoil Interpolation'!AS12</f>
        <v>0.34751833333333332</v>
      </c>
      <c r="B10">
        <f>'Airfoil Interpolation'!AT12</f>
        <v>5.7370000000000004E-2</v>
      </c>
      <c r="D10">
        <f t="shared" si="4"/>
        <v>1.25</v>
      </c>
      <c r="E10">
        <f t="shared" si="4"/>
        <v>0.36354166666666665</v>
      </c>
      <c r="F10">
        <f t="shared" si="4"/>
        <v>0.78125</v>
      </c>
      <c r="G10">
        <f t="shared" si="4"/>
        <v>-0.69468425691597802</v>
      </c>
      <c r="J10">
        <f t="shared" si="5"/>
        <v>0</v>
      </c>
      <c r="K10" s="1">
        <f t="shared" si="0"/>
        <v>0.34818803071351001</v>
      </c>
      <c r="L10" s="1">
        <f t="shared" si="1"/>
        <v>5.315843429242971E-2</v>
      </c>
      <c r="N10" s="25">
        <f t="shared" si="2"/>
        <v>907.84015209350457</v>
      </c>
      <c r="O10" s="19">
        <f>L10*E10*1000/COS(G10*3.14/180)-J10*E10*L2*1000/COS(3.14*G2/180)</f>
        <v>19.326724897295961</v>
      </c>
      <c r="P10" s="20">
        <f t="shared" si="3"/>
        <v>1250</v>
      </c>
    </row>
    <row r="11" spans="1:22" x14ac:dyDescent="0.25">
      <c r="A11">
        <f>'Airfoil Interpolation'!AS13</f>
        <v>0.26160666666666665</v>
      </c>
      <c r="B11">
        <f>'Airfoil Interpolation'!AT13</f>
        <v>5.7698333333333338E-2</v>
      </c>
      <c r="D11">
        <f t="shared" si="4"/>
        <v>1.25</v>
      </c>
      <c r="E11">
        <f t="shared" si="4"/>
        <v>0.36354166666666665</v>
      </c>
      <c r="F11">
        <f t="shared" si="4"/>
        <v>0.78125</v>
      </c>
      <c r="G11">
        <f t="shared" si="4"/>
        <v>-0.69468425691597802</v>
      </c>
      <c r="J11">
        <f t="shared" si="5"/>
        <v>0</v>
      </c>
      <c r="K11" s="1">
        <f t="shared" si="0"/>
        <v>0.26228665102627896</v>
      </c>
      <c r="L11" s="1">
        <f t="shared" si="1"/>
        <v>5.4527928895567158E-2</v>
      </c>
      <c r="N11" s="25">
        <f t="shared" si="2"/>
        <v>876.60912816265659</v>
      </c>
      <c r="O11" s="19">
        <f>L11*E11*1000/COS(G11*3.14/180)-J11*E11*L2*1000/COS(3.14*G2/180)</f>
        <v>19.824629807315819</v>
      </c>
      <c r="P11" s="20">
        <f t="shared" si="3"/>
        <v>1250</v>
      </c>
    </row>
    <row r="12" spans="1:22" x14ac:dyDescent="0.25">
      <c r="A12">
        <f>'Airfoil Interpolation'!AS14</f>
        <v>0.17706666666666665</v>
      </c>
      <c r="B12">
        <f>'Airfoil Interpolation'!AT14</f>
        <v>5.4039999999999998E-2</v>
      </c>
      <c r="D12">
        <f t="shared" si="4"/>
        <v>1.25</v>
      </c>
      <c r="E12">
        <f t="shared" si="4"/>
        <v>0.36354166666666665</v>
      </c>
      <c r="F12">
        <f t="shared" si="4"/>
        <v>0.78125</v>
      </c>
      <c r="G12">
        <f t="shared" si="4"/>
        <v>-0.69468425691597802</v>
      </c>
      <c r="J12">
        <f t="shared" si="5"/>
        <v>0</v>
      </c>
      <c r="K12" s="1">
        <f t="shared" si="0"/>
        <v>0.17770852652596103</v>
      </c>
      <c r="L12" s="1">
        <f t="shared" si="1"/>
        <v>5.1894133639125664E-2</v>
      </c>
      <c r="N12" s="25">
        <f t="shared" si="2"/>
        <v>845.85919795299878</v>
      </c>
      <c r="O12" s="19">
        <f>L12*E12*1000/COS(G12*3.14/180)-J12*E12*L2*1000/COS(3.14*G2/180)</f>
        <v>18.867065179339239</v>
      </c>
      <c r="P12" s="20">
        <f t="shared" si="3"/>
        <v>1250</v>
      </c>
    </row>
    <row r="13" spans="1:22" x14ac:dyDescent="0.25">
      <c r="A13">
        <f>'Airfoil Interpolation'!AS15</f>
        <v>9.6873333333333339E-2</v>
      </c>
      <c r="B13">
        <f>'Airfoil Interpolation'!AT15</f>
        <v>4.4408333333333334E-2</v>
      </c>
      <c r="D13">
        <f t="shared" si="4"/>
        <v>1.25</v>
      </c>
      <c r="E13">
        <f t="shared" si="4"/>
        <v>0.36354166666666665</v>
      </c>
      <c r="F13">
        <f t="shared" si="4"/>
        <v>0.78125</v>
      </c>
      <c r="G13">
        <f t="shared" si="4"/>
        <v>-0.69468425691597802</v>
      </c>
      <c r="J13">
        <f t="shared" si="5"/>
        <v>0</v>
      </c>
      <c r="K13" s="1">
        <f t="shared" si="0"/>
        <v>9.7404364174001043E-2</v>
      </c>
      <c r="L13" s="1">
        <f t="shared" si="1"/>
        <v>4.323432790826312E-2</v>
      </c>
      <c r="N13" s="25">
        <f t="shared" si="2"/>
        <v>816.66314516208456</v>
      </c>
      <c r="O13" s="19">
        <f>L13*E13*1000/COS(G13*3.14/180)-J13*E13*L2*1000/COS(3.14*G2/180)</f>
        <v>15.718633792069399</v>
      </c>
      <c r="P13" s="20">
        <f t="shared" si="3"/>
        <v>1250</v>
      </c>
    </row>
    <row r="14" spans="1:22" x14ac:dyDescent="0.25">
      <c r="A14">
        <f>'Airfoil Interpolation'!AS16</f>
        <v>3.6815000000000001E-2</v>
      </c>
      <c r="B14">
        <f>'Airfoil Interpolation'!AT16</f>
        <v>2.9311666666666666E-2</v>
      </c>
      <c r="D14">
        <f t="shared" si="4"/>
        <v>1.25</v>
      </c>
      <c r="E14">
        <f t="shared" si="4"/>
        <v>0.36354166666666665</v>
      </c>
      <c r="F14">
        <f t="shared" si="4"/>
        <v>0.78125</v>
      </c>
      <c r="G14">
        <f t="shared" si="4"/>
        <v>-0.69468425691597802</v>
      </c>
      <c r="J14">
        <f t="shared" si="5"/>
        <v>0</v>
      </c>
      <c r="K14" s="1">
        <f t="shared" si="0"/>
        <v>3.7167498045036503E-2</v>
      </c>
      <c r="L14" s="1">
        <f t="shared" si="1"/>
        <v>2.8865506632354231E-2</v>
      </c>
      <c r="N14" s="25">
        <f t="shared" si="2"/>
        <v>794.76292639443864</v>
      </c>
      <c r="O14" s="19">
        <f>L14*E14*1000/COS(G14*3.14/180)-J14*E14*L2*1000/COS(3.14*G2/180)</f>
        <v>10.494584972831474</v>
      </c>
      <c r="P14" s="20">
        <f t="shared" si="3"/>
        <v>1250</v>
      </c>
    </row>
    <row r="15" spans="1:22" x14ac:dyDescent="0.25">
      <c r="A15">
        <f>'Airfoil Interpolation'!AS17</f>
        <v>1.0818333333333334E-2</v>
      </c>
      <c r="B15">
        <f>'Airfoil Interpolation'!AT17</f>
        <v>1.6078333333333333E-2</v>
      </c>
      <c r="D15">
        <f t="shared" si="4"/>
        <v>1.25</v>
      </c>
      <c r="E15">
        <f t="shared" si="4"/>
        <v>0.36354166666666665</v>
      </c>
      <c r="F15">
        <f t="shared" si="4"/>
        <v>0.78125</v>
      </c>
      <c r="G15">
        <f t="shared" si="4"/>
        <v>-0.69468425691597802</v>
      </c>
      <c r="J15">
        <f t="shared" si="5"/>
        <v>0</v>
      </c>
      <c r="K15" s="1">
        <f t="shared" si="0"/>
        <v>1.1012377578106429E-2</v>
      </c>
      <c r="L15" s="1">
        <f t="shared" si="1"/>
        <v>1.5947226231032549E-2</v>
      </c>
      <c r="N15" s="25">
        <f t="shared" si="2"/>
        <v>785.25375208092839</v>
      </c>
      <c r="O15" s="19">
        <f>L15*E15*1000/COS(G15*3.14/180)-J15*E15*L2*1000/COS(3.14*G2/180)</f>
        <v>5.7979069237936489</v>
      </c>
      <c r="P15" s="20">
        <f t="shared" si="3"/>
        <v>1250</v>
      </c>
    </row>
    <row r="16" spans="1:22" x14ac:dyDescent="0.25">
      <c r="A16">
        <f>'Airfoil Interpolation'!AS18</f>
        <v>1.15E-3</v>
      </c>
      <c r="B16">
        <f>'Airfoil Interpolation'!AT18</f>
        <v>5.5033333333333332E-3</v>
      </c>
      <c r="D16">
        <f t="shared" si="4"/>
        <v>1.25</v>
      </c>
      <c r="E16">
        <f t="shared" si="4"/>
        <v>0.36354166666666665</v>
      </c>
      <c r="F16">
        <f t="shared" si="4"/>
        <v>0.78125</v>
      </c>
      <c r="G16">
        <f t="shared" si="4"/>
        <v>-0.69468425691597802</v>
      </c>
      <c r="J16">
        <f t="shared" si="5"/>
        <v>0</v>
      </c>
      <c r="K16" s="1">
        <f t="shared" si="0"/>
        <v>1.2166054166961847E-3</v>
      </c>
      <c r="L16" s="1">
        <f t="shared" si="1"/>
        <v>5.4893965130302152E-3</v>
      </c>
      <c r="N16" s="25">
        <f t="shared" si="2"/>
        <v>781.69231923889447</v>
      </c>
      <c r="O16" s="19">
        <f>L16*E16*1000/COS(G16*3.14/180)-J16*E16*L2*1000/COS(3.14*G2/180)</f>
        <v>1.9957709001715132</v>
      </c>
      <c r="P16" s="20">
        <f t="shared" si="3"/>
        <v>1250</v>
      </c>
    </row>
    <row r="17" spans="1:16" x14ac:dyDescent="0.25">
      <c r="A17">
        <f>'Airfoil Interpolation'!AS19</f>
        <v>9.8666666666666651E-4</v>
      </c>
      <c r="B17">
        <f>'Airfoil Interpolation'!AT19</f>
        <v>-4.3400000000000001E-3</v>
      </c>
      <c r="D17">
        <f t="shared" si="4"/>
        <v>1.25</v>
      </c>
      <c r="E17">
        <f t="shared" si="4"/>
        <v>0.36354166666666665</v>
      </c>
      <c r="F17">
        <f t="shared" si="4"/>
        <v>0.78125</v>
      </c>
      <c r="G17">
        <f t="shared" si="4"/>
        <v>-0.69468425691597802</v>
      </c>
      <c r="J17">
        <f t="shared" si="5"/>
        <v>0</v>
      </c>
      <c r="K17" s="1">
        <f t="shared" si="0"/>
        <v>9.3400173305815438E-4</v>
      </c>
      <c r="L17" s="1">
        <f t="shared" si="1"/>
        <v>-4.3519573878542704E-3</v>
      </c>
      <c r="N17" s="25">
        <f t="shared" si="2"/>
        <v>781.58957348045863</v>
      </c>
      <c r="O17" s="19">
        <f>L17*E17*1000/COS(G17*3.14/180)-J17*E17*L2*1000/COS(3.14*G2/180)</f>
        <v>-1.5822340202332141</v>
      </c>
      <c r="P17" s="20">
        <f t="shared" si="3"/>
        <v>1250</v>
      </c>
    </row>
    <row r="18" spans="1:16" x14ac:dyDescent="0.25">
      <c r="A18">
        <f>'Airfoil Interpolation'!AS20</f>
        <v>1.0251666666666666E-2</v>
      </c>
      <c r="B18">
        <f>'Airfoil Interpolation'!AT20</f>
        <v>-1.4395E-2</v>
      </c>
      <c r="D18">
        <f t="shared" si="4"/>
        <v>1.25</v>
      </c>
      <c r="E18">
        <f t="shared" si="4"/>
        <v>0.36354166666666665</v>
      </c>
      <c r="F18">
        <f t="shared" si="4"/>
        <v>0.78125</v>
      </c>
      <c r="G18">
        <f t="shared" si="4"/>
        <v>-0.69468425691597802</v>
      </c>
      <c r="J18">
        <f t="shared" si="5"/>
        <v>0</v>
      </c>
      <c r="K18" s="1">
        <f t="shared" si="0"/>
        <v>1.0076474097028679E-2</v>
      </c>
      <c r="L18" s="1">
        <f t="shared" si="1"/>
        <v>-1.4519239683600697E-2</v>
      </c>
      <c r="N18" s="25">
        <f t="shared" si="2"/>
        <v>784.91348718505685</v>
      </c>
      <c r="O18" s="19">
        <f>L18*E18*1000/COS(G18*3.14/180)-J18*E18*L2*1000/COS(3.14*G2/180)</f>
        <v>-5.2787361933798458</v>
      </c>
      <c r="P18" s="20">
        <f t="shared" si="3"/>
        <v>1250</v>
      </c>
    </row>
    <row r="19" spans="1:16" x14ac:dyDescent="0.25">
      <c r="A19">
        <f>'Airfoil Interpolation'!AS21</f>
        <v>3.5196666666666661E-2</v>
      </c>
      <c r="B19">
        <f>'Airfoil Interpolation'!AT21</f>
        <v>-2.5603333333333332E-2</v>
      </c>
      <c r="D19">
        <f t="shared" si="4"/>
        <v>1.25</v>
      </c>
      <c r="E19">
        <f t="shared" si="4"/>
        <v>0.36354166666666665</v>
      </c>
      <c r="F19">
        <f t="shared" si="4"/>
        <v>0.78125</v>
      </c>
      <c r="G19">
        <f t="shared" si="4"/>
        <v>-0.69468425691597802</v>
      </c>
      <c r="J19">
        <f t="shared" si="5"/>
        <v>0</v>
      </c>
      <c r="K19" s="1">
        <f t="shared" si="0"/>
        <v>3.4883818940080941E-2</v>
      </c>
      <c r="L19" s="1">
        <f t="shared" si="1"/>
        <v>-2.6029880827769931E-2</v>
      </c>
      <c r="N19" s="25">
        <f t="shared" si="2"/>
        <v>793.93265292226704</v>
      </c>
      <c r="O19" s="19">
        <f>L19*E19*1000/COS(G19*3.14/180)-J19*E19*L2*1000/COS(3.14*G2/180)</f>
        <v>-9.4636411430076741</v>
      </c>
      <c r="P19" s="20">
        <f t="shared" si="3"/>
        <v>1250</v>
      </c>
    </row>
    <row r="20" spans="1:16" x14ac:dyDescent="0.25">
      <c r="A20">
        <f>'Airfoil Interpolation'!AS22</f>
        <v>9.4423333333333331E-2</v>
      </c>
      <c r="B20">
        <f>'Airfoil Interpolation'!AT22</f>
        <v>-3.8821666666666664E-2</v>
      </c>
      <c r="D20">
        <f t="shared" ref="D20:G31" si="6">D19</f>
        <v>1.25</v>
      </c>
      <c r="E20">
        <f t="shared" si="6"/>
        <v>0.36354166666666665</v>
      </c>
      <c r="F20">
        <f t="shared" si="6"/>
        <v>0.78125</v>
      </c>
      <c r="G20">
        <f t="shared" si="6"/>
        <v>-0.69468425691597802</v>
      </c>
      <c r="J20">
        <f t="shared" si="5"/>
        <v>0</v>
      </c>
      <c r="K20" s="1">
        <f t="shared" si="0"/>
        <v>9.394595591136308E-2</v>
      </c>
      <c r="L20" s="1">
        <f t="shared" si="1"/>
        <v>-3.9965980605004149E-2</v>
      </c>
      <c r="N20" s="25">
        <f t="shared" si="2"/>
        <v>815.40577733392684</v>
      </c>
      <c r="O20" s="19">
        <f>L20*E20*1000/COS(G20*3.14/180)-J20*E20*L2*1000/COS(3.14*G2/180)</f>
        <v>-14.530366115647242</v>
      </c>
      <c r="P20" s="20">
        <f t="shared" si="3"/>
        <v>1250</v>
      </c>
    </row>
    <row r="21" spans="1:16" x14ac:dyDescent="0.25">
      <c r="A21">
        <f>'Airfoil Interpolation'!AS23</f>
        <v>0.17512166666666665</v>
      </c>
      <c r="B21">
        <f>'Airfoil Interpolation'!AT23</f>
        <v>-4.6878333333333334E-2</v>
      </c>
      <c r="D21">
        <f t="shared" si="6"/>
        <v>1.25</v>
      </c>
      <c r="E21">
        <f t="shared" si="6"/>
        <v>0.36354166666666665</v>
      </c>
      <c r="F21">
        <f t="shared" si="6"/>
        <v>0.78125</v>
      </c>
      <c r="G21">
        <f t="shared" si="6"/>
        <v>-0.69468425691597802</v>
      </c>
      <c r="J21">
        <f t="shared" si="5"/>
        <v>0</v>
      </c>
      <c r="K21" s="1">
        <f t="shared" si="0"/>
        <v>0.17454073246802582</v>
      </c>
      <c r="L21" s="1">
        <f t="shared" si="1"/>
        <v>-4.9000628289434141E-2</v>
      </c>
      <c r="N21" s="25">
        <f t="shared" si="2"/>
        <v>844.70748825530131</v>
      </c>
      <c r="O21" s="19">
        <f>L21*E21*1000/COS(G21*3.14/180)-J21*E21*L2*1000/COS(3.14*G2/180)</f>
        <v>-17.815078178091053</v>
      </c>
      <c r="P21" s="20">
        <f t="shared" si="3"/>
        <v>1250</v>
      </c>
    </row>
    <row r="22" spans="1:16" x14ac:dyDescent="0.25">
      <c r="A22">
        <f>'Airfoil Interpolation'!AS24</f>
        <v>0.25999666666666665</v>
      </c>
      <c r="B22">
        <f>'Airfoil Interpolation'!AT24</f>
        <v>-4.9996666666666668E-2</v>
      </c>
      <c r="D22">
        <f t="shared" si="6"/>
        <v>1.25</v>
      </c>
      <c r="E22">
        <f t="shared" si="6"/>
        <v>0.36354166666666665</v>
      </c>
      <c r="F22">
        <f t="shared" si="6"/>
        <v>0.78125</v>
      </c>
      <c r="G22">
        <f t="shared" si="6"/>
        <v>-0.69468425691597802</v>
      </c>
      <c r="J22">
        <f t="shared" si="5"/>
        <v>0</v>
      </c>
      <c r="K22" s="1">
        <f t="shared" si="0"/>
        <v>0.25937171215232691</v>
      </c>
      <c r="L22" s="1">
        <f t="shared" si="1"/>
        <v>-5.3147559556008479E-2</v>
      </c>
      <c r="N22" s="25">
        <f t="shared" si="2"/>
        <v>875.54934861009497</v>
      </c>
      <c r="O22" s="19">
        <f>L22*E22*1000/COS(G22*3.14/180)-J22*E22*L2*1000/COS(3.14*G2/180)</f>
        <v>-19.322771187185019</v>
      </c>
      <c r="P22" s="20">
        <f t="shared" si="3"/>
        <v>1250</v>
      </c>
    </row>
    <row r="23" spans="1:16" x14ac:dyDescent="0.25">
      <c r="A23">
        <f>'Airfoil Interpolation'!AS25</f>
        <v>0.34623999999999999</v>
      </c>
      <c r="B23">
        <f>'Airfoil Interpolation'!AT25</f>
        <v>-4.9933333333333337E-2</v>
      </c>
      <c r="D23">
        <f t="shared" si="6"/>
        <v>1.25</v>
      </c>
      <c r="E23">
        <f t="shared" si="6"/>
        <v>0.36354166666666665</v>
      </c>
      <c r="F23">
        <f t="shared" si="6"/>
        <v>0.78125</v>
      </c>
      <c r="G23">
        <f t="shared" si="6"/>
        <v>-0.69468425691597802</v>
      </c>
      <c r="J23">
        <f t="shared" si="5"/>
        <v>0</v>
      </c>
      <c r="K23" s="1">
        <f t="shared" si="0"/>
        <v>0.34560948040273487</v>
      </c>
      <c r="L23" s="1">
        <f t="shared" si="1"/>
        <v>-5.4129406952247848E-2</v>
      </c>
      <c r="N23" s="25">
        <f t="shared" si="2"/>
        <v>906.90267277994838</v>
      </c>
      <c r="O23" s="19">
        <f>L23*E23*1000/COS(G23*3.14/180)-J23*E23*L2*1000/COS(3.14*G2/180)</f>
        <v>-19.679739837048864</v>
      </c>
      <c r="P23" s="20">
        <f t="shared" si="3"/>
        <v>1250</v>
      </c>
    </row>
    <row r="24" spans="1:16" x14ac:dyDescent="0.25">
      <c r="A24">
        <f>'Airfoil Interpolation'!AS26</f>
        <v>0.43317</v>
      </c>
      <c r="B24">
        <f>'Airfoil Interpolation'!AT26</f>
        <v>-4.7493333333333332E-2</v>
      </c>
      <c r="D24">
        <f t="shared" si="6"/>
        <v>1.25</v>
      </c>
      <c r="E24">
        <f t="shared" si="6"/>
        <v>0.36354166666666665</v>
      </c>
      <c r="F24">
        <f t="shared" si="6"/>
        <v>0.78125</v>
      </c>
      <c r="G24">
        <f t="shared" si="6"/>
        <v>-0.69468425691597802</v>
      </c>
      <c r="J24">
        <f t="shared" si="5"/>
        <v>0</v>
      </c>
      <c r="K24" s="1">
        <f t="shared" si="0"/>
        <v>0.43256266554722478</v>
      </c>
      <c r="L24" s="1">
        <f t="shared" si="1"/>
        <v>-5.2742909377421821E-2</v>
      </c>
      <c r="N24" s="25">
        <f t="shared" si="2"/>
        <v>938.51609989833355</v>
      </c>
      <c r="O24" s="19">
        <f>L24*E24*1000/COS(G24*3.14/180)-J24*E24*L2*1000/COS(3.14*G2/180)</f>
        <v>-19.17565318445822</v>
      </c>
      <c r="P24" s="20">
        <f t="shared" si="3"/>
        <v>1250</v>
      </c>
    </row>
    <row r="25" spans="1:16" x14ac:dyDescent="0.25">
      <c r="A25">
        <f>'Airfoil Interpolation'!AS27</f>
        <v>0.52054833333333339</v>
      </c>
      <c r="B25">
        <f>'Airfoil Interpolation'!AT27</f>
        <v>-4.3275000000000001E-2</v>
      </c>
      <c r="D25">
        <f t="shared" si="6"/>
        <v>1.25</v>
      </c>
      <c r="E25">
        <f t="shared" si="6"/>
        <v>0.36354166666666665</v>
      </c>
      <c r="F25">
        <f t="shared" si="6"/>
        <v>0.78125</v>
      </c>
      <c r="G25">
        <f t="shared" si="6"/>
        <v>-0.69468425691597802</v>
      </c>
      <c r="J25">
        <f t="shared" si="5"/>
        <v>0</v>
      </c>
      <c r="K25" s="1">
        <f t="shared" si="0"/>
        <v>0.51998570109870346</v>
      </c>
      <c r="L25" s="1">
        <f t="shared" si="1"/>
        <v>-4.9583511809351652E-2</v>
      </c>
      <c r="N25" s="25">
        <f t="shared" si="2"/>
        <v>970.30034975970636</v>
      </c>
      <c r="O25" s="19">
        <f>L25*E25*1000/COS(G25*3.14/180)-J25*E25*L2*1000/COS(3.14*G2/180)</f>
        <v>-18.026996184829969</v>
      </c>
      <c r="P25" s="20">
        <f t="shared" si="3"/>
        <v>1250</v>
      </c>
    </row>
    <row r="26" spans="1:16" x14ac:dyDescent="0.25">
      <c r="A26">
        <f>'Airfoil Interpolation'!AS28</f>
        <v>0.60814999999999997</v>
      </c>
      <c r="B26">
        <f>'Airfoil Interpolation'!AT28</f>
        <v>-3.7698333333333334E-2</v>
      </c>
      <c r="D26">
        <f t="shared" si="6"/>
        <v>1.25</v>
      </c>
      <c r="E26">
        <f t="shared" si="6"/>
        <v>0.36354166666666665</v>
      </c>
      <c r="F26">
        <f t="shared" si="6"/>
        <v>0.78125</v>
      </c>
      <c r="G26">
        <f t="shared" si="6"/>
        <v>-0.69468425691597802</v>
      </c>
      <c r="J26">
        <f t="shared" si="5"/>
        <v>0</v>
      </c>
      <c r="K26" s="1">
        <f t="shared" si="0"/>
        <v>0.6076485139827591</v>
      </c>
      <c r="L26" s="1">
        <f t="shared" si="1"/>
        <v>-4.5068487478847598E-2</v>
      </c>
      <c r="N26" s="25">
        <f t="shared" si="2"/>
        <v>1002.1717750731971</v>
      </c>
      <c r="O26" s="19">
        <f>L26*E26*1000/COS(G26*3.14/180)-J26*E26*L2*1000/COS(3.14*G2/180)</f>
        <v>-16.385476183314864</v>
      </c>
      <c r="P26" s="20">
        <f t="shared" si="3"/>
        <v>1250</v>
      </c>
    </row>
    <row r="27" spans="1:16" x14ac:dyDescent="0.25">
      <c r="A27">
        <f>'Airfoil Interpolation'!AS29</f>
        <v>0.69584500000000005</v>
      </c>
      <c r="B27">
        <f>'Airfoil Interpolation'!AT29</f>
        <v>-3.1005000000000001E-2</v>
      </c>
      <c r="D27">
        <f t="shared" si="6"/>
        <v>1.25</v>
      </c>
      <c r="E27">
        <f t="shared" si="6"/>
        <v>0.36354166666666665</v>
      </c>
      <c r="F27">
        <f t="shared" si="6"/>
        <v>0.78125</v>
      </c>
      <c r="G27">
        <f t="shared" si="6"/>
        <v>-0.69468425691597802</v>
      </c>
      <c r="J27">
        <f t="shared" si="5"/>
        <v>0</v>
      </c>
      <c r="K27" s="1">
        <f t="shared" si="0"/>
        <v>0.69541818520781618</v>
      </c>
      <c r="L27" s="1">
        <f t="shared" si="1"/>
        <v>-3.9437927585933362E-2</v>
      </c>
      <c r="N27" s="25">
        <f t="shared" si="2"/>
        <v>1034.082050698722</v>
      </c>
      <c r="O27" s="19">
        <f>L27*E27*1000/COS(G27*3.14/180)-J27*E27*L2*1000/COS(3.14*G2/180)</f>
        <v>-14.338382744304399</v>
      </c>
      <c r="P27" s="20">
        <f t="shared" si="3"/>
        <v>1250</v>
      </c>
    </row>
    <row r="28" spans="1:16" x14ac:dyDescent="0.25">
      <c r="A28">
        <f>'Airfoil Interpolation'!AS30</f>
        <v>0.78354166666666669</v>
      </c>
      <c r="B28">
        <f>'Airfoil Interpolation'!AT30</f>
        <v>-2.3388333333333334E-2</v>
      </c>
      <c r="D28">
        <f t="shared" si="6"/>
        <v>1.25</v>
      </c>
      <c r="E28">
        <f t="shared" si="6"/>
        <v>0.36354166666666665</v>
      </c>
      <c r="F28">
        <f t="shared" si="6"/>
        <v>0.78125</v>
      </c>
      <c r="G28">
        <f t="shared" si="6"/>
        <v>-0.69468425691597802</v>
      </c>
      <c r="J28">
        <f t="shared" si="5"/>
        <v>0</v>
      </c>
      <c r="K28" s="1">
        <f t="shared" si="0"/>
        <v>0.7832007120083514</v>
      </c>
      <c r="L28" s="1">
        <f t="shared" si="1"/>
        <v>-3.2884054557976085E-2</v>
      </c>
      <c r="N28" s="25">
        <f t="shared" si="2"/>
        <v>1065.9970002047698</v>
      </c>
      <c r="O28" s="19">
        <f>L28*E28*1000/COS(G28*3.14/180)-J28*E28*L2*1000/COS(3.14*G2/180)</f>
        <v>-11.955601860910759</v>
      </c>
      <c r="P28" s="20">
        <f t="shared" si="3"/>
        <v>1250</v>
      </c>
    </row>
    <row r="29" spans="1:16" x14ac:dyDescent="0.25">
      <c r="A29">
        <f>'Airfoil Interpolation'!AS31</f>
        <v>0.87115166666666666</v>
      </c>
      <c r="B29">
        <f>'Airfoil Interpolation'!AT31</f>
        <v>-1.4879999999999999E-2</v>
      </c>
      <c r="D29">
        <f t="shared" si="6"/>
        <v>1.25</v>
      </c>
      <c r="E29">
        <f t="shared" si="6"/>
        <v>0.36354166666666665</v>
      </c>
      <c r="F29">
        <f t="shared" si="6"/>
        <v>0.78125</v>
      </c>
      <c r="G29">
        <f t="shared" si="6"/>
        <v>-0.69468425691597802</v>
      </c>
      <c r="J29">
        <f t="shared" si="5"/>
        <v>0</v>
      </c>
      <c r="K29" s="1">
        <f t="shared" si="0"/>
        <v>0.87090738379771804</v>
      </c>
      <c r="L29" s="1">
        <f t="shared" si="1"/>
        <v>-2.5437464552256834E-2</v>
      </c>
      <c r="N29" s="25">
        <f t="shared" si="2"/>
        <v>1097.8843712286359</v>
      </c>
      <c r="O29" s="19">
        <f>L29*E29*1000/COS(G29*3.14/180)-J29*E29*L2*1000/COS(3.14*G2/180)</f>
        <v>-9.2482573279288154</v>
      </c>
      <c r="P29" s="20">
        <f t="shared" si="3"/>
        <v>1250</v>
      </c>
    </row>
    <row r="30" spans="1:16" x14ac:dyDescent="0.25">
      <c r="A30">
        <f>'Airfoil Interpolation'!AS32</f>
        <v>0.95706333333333338</v>
      </c>
      <c r="B30">
        <f>'Airfoil Interpolation'!AT32</f>
        <v>-5.7099999999999998E-3</v>
      </c>
      <c r="D30">
        <f t="shared" si="6"/>
        <v>1.25</v>
      </c>
      <c r="E30">
        <f t="shared" si="6"/>
        <v>0.36354166666666665</v>
      </c>
      <c r="F30">
        <f t="shared" si="6"/>
        <v>0.78125</v>
      </c>
      <c r="G30">
        <f t="shared" si="6"/>
        <v>-0.69468425691597802</v>
      </c>
      <c r="J30">
        <f t="shared" si="5"/>
        <v>0</v>
      </c>
      <c r="K30" s="1">
        <f t="shared" si="0"/>
        <v>0.95692386508918748</v>
      </c>
      <c r="L30" s="1">
        <f t="shared" si="1"/>
        <v>-1.7308625822060952E-2</v>
      </c>
      <c r="N30" s="25">
        <f t="shared" si="2"/>
        <v>1129.1572424612332</v>
      </c>
      <c r="O30" s="19">
        <f>L30*E30*1000/COS(G30*3.14/180)-J30*E30*L2*1000/COS(3.14*G2/180)</f>
        <v>-6.2928687435183539</v>
      </c>
      <c r="P30" s="20">
        <f t="shared" si="3"/>
        <v>1250</v>
      </c>
    </row>
    <row r="31" spans="1:16" ht="15.75" thickBot="1" x14ac:dyDescent="0.3">
      <c r="A31">
        <f>'Airfoil Interpolation'!AS33</f>
        <v>1</v>
      </c>
      <c r="B31">
        <f>'Airfoil Interpolation'!AT33</f>
        <v>-8.5166666666666659E-4</v>
      </c>
      <c r="D31">
        <f t="shared" si="6"/>
        <v>1.25</v>
      </c>
      <c r="E31">
        <f t="shared" si="6"/>
        <v>0.36354166666666665</v>
      </c>
      <c r="F31">
        <f t="shared" si="6"/>
        <v>0.78125</v>
      </c>
      <c r="G31">
        <f t="shared" si="6"/>
        <v>-0.69468425691597802</v>
      </c>
      <c r="J31">
        <f t="shared" si="5"/>
        <v>0</v>
      </c>
      <c r="K31" s="1">
        <f t="shared" si="0"/>
        <v>0.99991625275198115</v>
      </c>
      <c r="L31" s="1">
        <f t="shared" si="1"/>
        <v>-1.297064084329129E-2</v>
      </c>
      <c r="N31" s="26">
        <f t="shared" si="2"/>
        <v>1144.7879144344865</v>
      </c>
      <c r="O31" s="27">
        <f>L31*E31*1000/COS(G31*3.14/180)-J31*E31*L2*1000/COS(3.14*G2/180)</f>
        <v>-4.7157146491731972</v>
      </c>
      <c r="P31" s="28">
        <f t="shared" si="3"/>
        <v>1250</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topLeftCell="A29" workbookViewId="0">
      <selection activeCell="A2" sqref="A2"/>
    </sheetView>
  </sheetViews>
  <sheetFormatPr defaultRowHeight="15" x14ac:dyDescent="0.25"/>
  <sheetData>
    <row r="1" spans="1:16" ht="15.75" thickBot="1" x14ac:dyDescent="0.3">
      <c r="A1">
        <v>12</v>
      </c>
      <c r="D1" t="s">
        <v>0</v>
      </c>
      <c r="E1" t="s">
        <v>1</v>
      </c>
      <c r="F1" t="s">
        <v>2</v>
      </c>
      <c r="G1" t="s">
        <v>5</v>
      </c>
      <c r="J1" t="s">
        <v>10</v>
      </c>
      <c r="K1" t="s">
        <v>9</v>
      </c>
      <c r="N1" s="6" t="s">
        <v>6</v>
      </c>
      <c r="O1" s="6" t="s">
        <v>7</v>
      </c>
      <c r="P1" s="6" t="s">
        <v>8</v>
      </c>
    </row>
    <row r="2" spans="1:16" x14ac:dyDescent="0.25">
      <c r="A2">
        <f>'Airfoil Interpolation'!AW4</f>
        <v>1</v>
      </c>
      <c r="B2">
        <f>'Airfoil Interpolation'!AX4</f>
        <v>1.0499999999999999E-3</v>
      </c>
      <c r="D2" s="4">
        <f>'Loft Viewer'!M5</f>
        <v>1.375</v>
      </c>
      <c r="E2" s="4">
        <f>'Loft Viewer'!M6</f>
        <v>0.24973958333333335</v>
      </c>
      <c r="F2" s="4">
        <f>'Loft Viewer'!M7</f>
        <v>0.9453125</v>
      </c>
      <c r="G2" s="4">
        <f>-'Loft Viewer'!M8</f>
        <v>1.4314298732636495</v>
      </c>
      <c r="J2">
        <f>'Loft Viewer'!B2</f>
        <v>0</v>
      </c>
      <c r="K2" s="1">
        <f>((A2)*COS(3.14*G2/180)-B2*SIN(3.14*G2/180))</f>
        <v>0.99966203699212719</v>
      </c>
      <c r="L2" s="1">
        <f>((A2)*SIN(3.14*G2/180)+B2*COS(3.14*G2/180))/COS(3.14*G2/180)</f>
        <v>2.6025690111906832E-2</v>
      </c>
      <c r="N2" s="22">
        <f>K2*E2*1000/COS(G2*3.14/180)+F2*1000</f>
        <v>1195.0455340439692</v>
      </c>
      <c r="O2" s="23">
        <f>L2*E2*1000/COS(G2*3.14/180)-J2*E2*L2*1000/COS(3.14*G2/180)</f>
        <v>6.5016718793191597</v>
      </c>
      <c r="P2" s="24">
        <f>D2*1000</f>
        <v>1375</v>
      </c>
    </row>
    <row r="3" spans="1:16" x14ac:dyDescent="0.25">
      <c r="A3">
        <f>'Airfoil Interpolation'!AW5</f>
        <v>0.95823000000000003</v>
      </c>
      <c r="B3">
        <f>'Airfoil Interpolation'!AX5</f>
        <v>5.8100000000000001E-3</v>
      </c>
      <c r="D3">
        <f>D2</f>
        <v>1.375</v>
      </c>
      <c r="E3">
        <f>E2</f>
        <v>0.24973958333333335</v>
      </c>
      <c r="F3">
        <f>F2</f>
        <v>0.9453125</v>
      </c>
      <c r="G3">
        <f>G2</f>
        <v>1.4314298732636495</v>
      </c>
      <c r="J3">
        <f>J2</f>
        <v>0</v>
      </c>
      <c r="K3" s="1">
        <f t="shared" ref="K3:K31" si="0">((A3)*COS(3.14*G3/180)-B3*SIN(3.14*G3/180))</f>
        <v>0.95778621142899933</v>
      </c>
      <c r="L3" s="1">
        <f t="shared" ref="L3:L31" si="1">((A3)*SIN(3.14*G3/180)+B3*COS(3.14*G3/180))/COS(3.14*G3/180)</f>
        <v>2.9742455535932483E-2</v>
      </c>
      <c r="N3" s="25">
        <f t="shared" ref="N3:N31" si="2">K3*E3*1000/COS(G3*3.14/180)+F3*1000</f>
        <v>1184.5842215363518</v>
      </c>
      <c r="O3" s="19">
        <f>L3*E3*1000/COS(G3*3.14/180)-J3*E3*L2*1000/COS(3.14*G2/180)</f>
        <v>7.4301847885064429</v>
      </c>
      <c r="P3" s="20">
        <f t="shared" ref="P3:P31" si="3">D3*1000</f>
        <v>1375</v>
      </c>
    </row>
    <row r="4" spans="1:16" x14ac:dyDescent="0.25">
      <c r="A4">
        <f>'Airfoil Interpolation'!AW6</f>
        <v>0.87217999999999996</v>
      </c>
      <c r="B4">
        <f>'Airfoil Interpolation'!AX6</f>
        <v>1.49E-2</v>
      </c>
      <c r="D4">
        <f t="shared" ref="D4:G19" si="4">D3</f>
        <v>1.375</v>
      </c>
      <c r="E4">
        <f t="shared" si="4"/>
        <v>0.24973958333333335</v>
      </c>
      <c r="F4">
        <f t="shared" si="4"/>
        <v>0.9453125</v>
      </c>
      <c r="G4">
        <f t="shared" si="4"/>
        <v>1.4314298732636495</v>
      </c>
      <c r="J4">
        <f t="shared" ref="J4:J31" si="5">J3</f>
        <v>0</v>
      </c>
      <c r="K4" s="1">
        <f t="shared" si="0"/>
        <v>0.87153607898571206</v>
      </c>
      <c r="L4" s="1">
        <f t="shared" si="1"/>
        <v>3.66832974018029E-2</v>
      </c>
      <c r="N4" s="25">
        <f t="shared" si="2"/>
        <v>1163.0374322568807</v>
      </c>
      <c r="O4" s="19">
        <f>L4*E4*1000/COS(G4*3.14/180)-J4*E4*L2*1000/COS(3.14*G2/180)</f>
        <v>9.1641282952526879</v>
      </c>
      <c r="P4" s="20">
        <f t="shared" si="3"/>
        <v>1375</v>
      </c>
    </row>
    <row r="5" spans="1:16" x14ac:dyDescent="0.25">
      <c r="A5">
        <f>'Airfoil Interpolation'!AW7</f>
        <v>0.78420000000000001</v>
      </c>
      <c r="B5">
        <f>'Airfoil Interpolation'!AX7</f>
        <v>2.3300000000000001E-2</v>
      </c>
      <c r="D5">
        <f t="shared" si="4"/>
        <v>1.375</v>
      </c>
      <c r="E5">
        <f t="shared" si="4"/>
        <v>0.24973958333333335</v>
      </c>
      <c r="F5">
        <f t="shared" si="4"/>
        <v>0.9453125</v>
      </c>
      <c r="G5">
        <f t="shared" si="4"/>
        <v>1.4314298732636495</v>
      </c>
      <c r="J5">
        <f t="shared" si="5"/>
        <v>0</v>
      </c>
      <c r="K5" s="1">
        <f t="shared" si="0"/>
        <v>0.78337377606734815</v>
      </c>
      <c r="L5" s="1">
        <f t="shared" si="1"/>
        <v>4.288593618575734E-2</v>
      </c>
      <c r="N5" s="25">
        <f t="shared" si="2"/>
        <v>1141.0129494003013</v>
      </c>
      <c r="O5" s="19">
        <f>L5*E5*1000/COS(G5*3.14/180)-J5*E5*L2*1000/COS(3.14*G2/180)</f>
        <v>10.713655780818229</v>
      </c>
      <c r="P5" s="20">
        <f t="shared" si="3"/>
        <v>1375</v>
      </c>
    </row>
    <row r="6" spans="1:16" x14ac:dyDescent="0.25">
      <c r="A6">
        <f>'Airfoil Interpolation'!AW8</f>
        <v>0.69613000000000003</v>
      </c>
      <c r="B6">
        <f>'Airfoil Interpolation'!AX8</f>
        <v>3.0849999999999999E-2</v>
      </c>
      <c r="D6">
        <f t="shared" si="4"/>
        <v>1.375</v>
      </c>
      <c r="E6">
        <f t="shared" si="4"/>
        <v>0.24973958333333335</v>
      </c>
      <c r="F6">
        <f t="shared" si="4"/>
        <v>0.9453125</v>
      </c>
      <c r="G6">
        <f t="shared" si="4"/>
        <v>1.4314298732636495</v>
      </c>
      <c r="J6">
        <f t="shared" si="5"/>
        <v>0</v>
      </c>
      <c r="K6" s="1">
        <f t="shared" si="0"/>
        <v>0.69514272392460741</v>
      </c>
      <c r="L6" s="1">
        <f t="shared" si="1"/>
        <v>4.8236327157601698E-2</v>
      </c>
      <c r="N6" s="25">
        <f t="shared" si="2"/>
        <v>1118.9712917868974</v>
      </c>
      <c r="O6" s="19">
        <f>L6*E6*1000/COS(G6*3.14/180)-J6*E6*L2*1000/COS(3.14*G2/180)</f>
        <v>12.050276880025457</v>
      </c>
      <c r="P6" s="20">
        <f t="shared" si="3"/>
        <v>1375</v>
      </c>
    </row>
    <row r="7" spans="1:16" x14ac:dyDescent="0.25">
      <c r="A7">
        <f>'Airfoil Interpolation'!AW9</f>
        <v>0.60809000000000002</v>
      </c>
      <c r="B7">
        <f>'Airfoil Interpolation'!AX9</f>
        <v>3.7470000000000003E-2</v>
      </c>
      <c r="D7">
        <f t="shared" si="4"/>
        <v>1.375</v>
      </c>
      <c r="E7">
        <f t="shared" si="4"/>
        <v>0.24973958333333335</v>
      </c>
      <c r="F7">
        <f t="shared" si="4"/>
        <v>0.9453125</v>
      </c>
      <c r="G7">
        <f t="shared" si="4"/>
        <v>1.4314298732636495</v>
      </c>
      <c r="J7">
        <f t="shared" si="5"/>
        <v>0</v>
      </c>
      <c r="K7" s="1">
        <f t="shared" si="0"/>
        <v>0.60696488258020642</v>
      </c>
      <c r="L7" s="1">
        <f t="shared" si="1"/>
        <v>5.2657467400149434E-2</v>
      </c>
      <c r="N7" s="25">
        <f t="shared" si="2"/>
        <v>1096.9429271601446</v>
      </c>
      <c r="O7" s="19">
        <f>L7*E7*1000/COS(G7*3.14/180)-J7*E7*L2*1000/COS(3.14*G2/180)</f>
        <v>13.154754919451127</v>
      </c>
      <c r="P7" s="20">
        <f t="shared" si="3"/>
        <v>1375</v>
      </c>
    </row>
    <row r="8" spans="1:16" x14ac:dyDescent="0.25">
      <c r="A8">
        <f>'Airfoil Interpolation'!AW10</f>
        <v>0.52019000000000004</v>
      </c>
      <c r="B8">
        <f>'Airfoil Interpolation'!AX10</f>
        <v>4.3020000000000003E-2</v>
      </c>
      <c r="D8">
        <f t="shared" si="4"/>
        <v>1.375</v>
      </c>
      <c r="E8">
        <f t="shared" si="4"/>
        <v>0.24973958333333335</v>
      </c>
      <c r="F8">
        <f t="shared" si="4"/>
        <v>0.9453125</v>
      </c>
      <c r="G8">
        <f t="shared" si="4"/>
        <v>1.4314298732636495</v>
      </c>
      <c r="J8">
        <f t="shared" si="5"/>
        <v>0</v>
      </c>
      <c r="K8" s="1">
        <f t="shared" si="0"/>
        <v>0.51895371324857054</v>
      </c>
      <c r="L8" s="1">
        <f t="shared" si="1"/>
        <v>5.6012104239312813E-2</v>
      </c>
      <c r="N8" s="25">
        <f t="shared" si="2"/>
        <v>1074.9562001127913</v>
      </c>
      <c r="O8" s="19">
        <f>L8*E8*1000/COS(G8*3.14/180)-J8*E8*L2*1000/COS(3.14*G2/180)</f>
        <v>13.992801784250235</v>
      </c>
      <c r="P8" s="20">
        <f t="shared" si="3"/>
        <v>1375</v>
      </c>
    </row>
    <row r="9" spans="1:16" x14ac:dyDescent="0.25">
      <c r="A9">
        <f>'Airfoil Interpolation'!AW11</f>
        <v>0.43256</v>
      </c>
      <c r="B9">
        <f>'Airfoil Interpolation'!AX11</f>
        <v>4.7219999999999998E-2</v>
      </c>
      <c r="D9">
        <f t="shared" si="4"/>
        <v>1.375</v>
      </c>
      <c r="E9">
        <f t="shared" si="4"/>
        <v>0.24973958333333335</v>
      </c>
      <c r="F9">
        <f t="shared" si="4"/>
        <v>0.9453125</v>
      </c>
      <c r="G9">
        <f t="shared" si="4"/>
        <v>1.4314298732636495</v>
      </c>
      <c r="J9">
        <f t="shared" si="5"/>
        <v>0</v>
      </c>
      <c r="K9" s="1">
        <f t="shared" si="0"/>
        <v>0.43124616641575403</v>
      </c>
      <c r="L9" s="1">
        <f t="shared" si="1"/>
        <v>5.8023484514806413E-2</v>
      </c>
      <c r="N9" s="25">
        <f t="shared" si="2"/>
        <v>1053.0453232678349</v>
      </c>
      <c r="O9" s="19">
        <f>L9*E9*1000/COS(G9*3.14/180)-J9*E9*L2*1000/COS(3.14*G2/180)</f>
        <v>14.495279702013921</v>
      </c>
      <c r="P9" s="20">
        <f t="shared" si="3"/>
        <v>1375</v>
      </c>
    </row>
    <row r="10" spans="1:16" x14ac:dyDescent="0.25">
      <c r="A10">
        <f>'Airfoil Interpolation'!AW12</f>
        <v>0.34539999999999998</v>
      </c>
      <c r="B10">
        <f>'Airfoil Interpolation'!AX12</f>
        <v>4.965E-2</v>
      </c>
      <c r="D10">
        <f t="shared" si="4"/>
        <v>1.375</v>
      </c>
      <c r="E10">
        <f t="shared" si="4"/>
        <v>0.24973958333333335</v>
      </c>
      <c r="F10">
        <f t="shared" si="4"/>
        <v>0.9453125</v>
      </c>
      <c r="G10">
        <f t="shared" si="4"/>
        <v>1.4314298732636495</v>
      </c>
      <c r="J10">
        <f t="shared" si="5"/>
        <v>0</v>
      </c>
      <c r="K10" s="1">
        <f t="shared" si="0"/>
        <v>0.34405266625210468</v>
      </c>
      <c r="L10" s="1">
        <f t="shared" si="1"/>
        <v>5.8276603364652617E-2</v>
      </c>
      <c r="N10" s="25">
        <f t="shared" si="2"/>
        <v>1031.2628642576876</v>
      </c>
      <c r="O10" s="19">
        <f>L10*E10*1000/COS(G10*3.14/180)-J10*E10*L2*1000/COS(3.14*G2/180)</f>
        <v>14.558513210946613</v>
      </c>
      <c r="P10" s="20">
        <f t="shared" si="3"/>
        <v>1375</v>
      </c>
    </row>
    <row r="11" spans="1:16" x14ac:dyDescent="0.25">
      <c r="A11">
        <f>'Airfoil Interpolation'!AW13</f>
        <v>0.25903999999999999</v>
      </c>
      <c r="B11">
        <f>'Airfoil Interpolation'!AX13</f>
        <v>4.9680000000000002E-2</v>
      </c>
      <c r="D11">
        <f t="shared" si="4"/>
        <v>1.375</v>
      </c>
      <c r="E11">
        <f t="shared" si="4"/>
        <v>0.24973958333333335</v>
      </c>
      <c r="F11">
        <f t="shared" si="4"/>
        <v>0.9453125</v>
      </c>
      <c r="G11">
        <f t="shared" si="4"/>
        <v>1.4314298732636495</v>
      </c>
      <c r="J11">
        <f t="shared" si="5"/>
        <v>0</v>
      </c>
      <c r="K11" s="1">
        <f t="shared" si="0"/>
        <v>0.25771883966074294</v>
      </c>
      <c r="L11" s="1">
        <f t="shared" si="1"/>
        <v>5.6149702766588344E-2</v>
      </c>
      <c r="N11" s="25">
        <f t="shared" si="2"/>
        <v>1009.6951667184676</v>
      </c>
      <c r="O11" s="19">
        <f>L11*E11*1000/COS(G11*3.14/180)-J11*E11*L2*1000/COS(3.14*G2/180)</f>
        <v>14.027176299261221</v>
      </c>
      <c r="P11" s="20">
        <f t="shared" si="3"/>
        <v>1375</v>
      </c>
    </row>
    <row r="12" spans="1:16" x14ac:dyDescent="0.25">
      <c r="A12">
        <f>'Airfoil Interpolation'!AW14</f>
        <v>0.17424999999999999</v>
      </c>
      <c r="B12">
        <f>'Airfoil Interpolation'!AX14</f>
        <v>4.6359999999999998E-2</v>
      </c>
      <c r="D12">
        <f t="shared" si="4"/>
        <v>1.375</v>
      </c>
      <c r="E12">
        <f t="shared" si="4"/>
        <v>0.24973958333333335</v>
      </c>
      <c r="F12">
        <f t="shared" si="4"/>
        <v>0.9453125</v>
      </c>
      <c r="G12">
        <f t="shared" si="4"/>
        <v>1.4314298732636495</v>
      </c>
      <c r="J12">
        <f t="shared" si="5"/>
        <v>0</v>
      </c>
      <c r="K12" s="1">
        <f t="shared" si="0"/>
        <v>0.17303816610552469</v>
      </c>
      <c r="L12" s="1">
        <f t="shared" si="1"/>
        <v>5.0712014001999761E-2</v>
      </c>
      <c r="N12" s="25">
        <f t="shared" si="2"/>
        <v>988.54045567686171</v>
      </c>
      <c r="O12" s="19">
        <f>L12*E12*1000/COS(G12*3.14/180)-J12*E12*L2*1000/COS(3.14*G2/180)</f>
        <v>12.668746686935947</v>
      </c>
      <c r="P12" s="20">
        <f t="shared" si="3"/>
        <v>1375</v>
      </c>
    </row>
    <row r="13" spans="1:16" x14ac:dyDescent="0.25">
      <c r="A13">
        <f>'Airfoil Interpolation'!AW15</f>
        <v>9.3899999999999997E-2</v>
      </c>
      <c r="B13">
        <f>'Airfoil Interpolation'!AX15</f>
        <v>3.814E-2</v>
      </c>
      <c r="D13">
        <f t="shared" si="4"/>
        <v>1.375</v>
      </c>
      <c r="E13">
        <f t="shared" si="4"/>
        <v>0.24973958333333335</v>
      </c>
      <c r="F13">
        <f t="shared" si="4"/>
        <v>0.9453125</v>
      </c>
      <c r="G13">
        <f t="shared" si="4"/>
        <v>1.4314298732636495</v>
      </c>
      <c r="J13">
        <f t="shared" si="5"/>
        <v>0</v>
      </c>
      <c r="K13" s="1">
        <f t="shared" si="0"/>
        <v>9.2918451124631388E-2</v>
      </c>
      <c r="L13" s="1">
        <f t="shared" si="1"/>
        <v>4.0485217301508052E-2</v>
      </c>
      <c r="N13" s="25">
        <f t="shared" si="2"/>
        <v>968.52515173562176</v>
      </c>
      <c r="O13" s="19">
        <f>L13*E13*1000/COS(G13*3.14/180)-J13*E13*L2*1000/COS(3.14*G2/180)</f>
        <v>10.113914279526279</v>
      </c>
      <c r="P13" s="20">
        <f t="shared" si="3"/>
        <v>1375</v>
      </c>
    </row>
    <row r="14" spans="1:16" x14ac:dyDescent="0.25">
      <c r="A14">
        <f>'Airfoil Interpolation'!AW16</f>
        <v>3.5589999999999997E-2</v>
      </c>
      <c r="B14">
        <f>'Airfoil Interpolation'!AX16</f>
        <v>2.555E-2</v>
      </c>
      <c r="D14">
        <f t="shared" si="4"/>
        <v>1.375</v>
      </c>
      <c r="E14">
        <f t="shared" si="4"/>
        <v>0.24973958333333335</v>
      </c>
      <c r="F14">
        <f t="shared" si="4"/>
        <v>0.9453125</v>
      </c>
      <c r="G14">
        <f t="shared" si="4"/>
        <v>1.4314298732636495</v>
      </c>
      <c r="J14">
        <f t="shared" si="5"/>
        <v>0</v>
      </c>
      <c r="K14" s="1">
        <f t="shared" si="0"/>
        <v>3.4940974986858733E-2</v>
      </c>
      <c r="L14" s="1">
        <f t="shared" si="1"/>
        <v>2.6438884811082763E-2</v>
      </c>
      <c r="N14" s="25">
        <f t="shared" si="2"/>
        <v>954.04136572964001</v>
      </c>
      <c r="O14" s="19">
        <f>L14*E14*1000/COS(G14*3.14/180)-J14*E14*L2*1000/COS(3.14*G2/180)</f>
        <v>6.604895130835815</v>
      </c>
      <c r="P14" s="20">
        <f t="shared" si="3"/>
        <v>1375</v>
      </c>
    </row>
    <row r="15" spans="1:16" x14ac:dyDescent="0.25">
      <c r="A15">
        <f>'Airfoil Interpolation'!AW17</f>
        <v>1.077E-2</v>
      </c>
      <c r="B15">
        <f>'Airfoil Interpolation'!AX17</f>
        <v>1.4710000000000001E-2</v>
      </c>
      <c r="D15">
        <f t="shared" si="4"/>
        <v>1.375</v>
      </c>
      <c r="E15">
        <f t="shared" si="4"/>
        <v>0.24973958333333335</v>
      </c>
      <c r="F15">
        <f t="shared" si="4"/>
        <v>0.9453125</v>
      </c>
      <c r="G15">
        <f t="shared" si="4"/>
        <v>1.4314298732636495</v>
      </c>
      <c r="J15">
        <f t="shared" si="5"/>
        <v>0</v>
      </c>
      <c r="K15" s="1">
        <f t="shared" si="0"/>
        <v>1.0399364619773666E-2</v>
      </c>
      <c r="L15" s="1">
        <f t="shared" si="1"/>
        <v>1.4978988182505239E-2</v>
      </c>
      <c r="N15" s="25">
        <f t="shared" si="2"/>
        <v>947.91044288721798</v>
      </c>
      <c r="O15" s="19">
        <f>L15*E15*1000/COS(G15*3.14/180)-J15*E15*L2*1000/COS(3.14*G2/180)</f>
        <v>3.7420128276365205</v>
      </c>
      <c r="P15" s="20">
        <f t="shared" si="3"/>
        <v>1375</v>
      </c>
    </row>
    <row r="16" spans="1:16" x14ac:dyDescent="0.25">
      <c r="A16">
        <f>'Airfoil Interpolation'!AW18</f>
        <v>1.1199999999999999E-3</v>
      </c>
      <c r="B16">
        <f>'Airfoil Interpolation'!AX18</f>
        <v>4.8999999999999998E-3</v>
      </c>
      <c r="D16">
        <f t="shared" si="4"/>
        <v>1.375</v>
      </c>
      <c r="E16">
        <f t="shared" si="4"/>
        <v>0.24973958333333335</v>
      </c>
      <c r="F16">
        <f t="shared" si="4"/>
        <v>0.9453125</v>
      </c>
      <c r="G16">
        <f t="shared" si="4"/>
        <v>1.4314298732636495</v>
      </c>
      <c r="J16">
        <f t="shared" si="5"/>
        <v>0</v>
      </c>
      <c r="K16" s="1">
        <f t="shared" si="0"/>
        <v>9.9730811397499386E-4</v>
      </c>
      <c r="L16" s="1">
        <f t="shared" si="1"/>
        <v>4.9279727729253358E-3</v>
      </c>
      <c r="N16" s="25">
        <f t="shared" si="2"/>
        <v>945.56164498296744</v>
      </c>
      <c r="O16" s="19">
        <f>L16*E16*1000/COS(G16*3.14/180)-J16*E16*L2*1000/COS(3.14*G2/180)</f>
        <v>1.2310936563838011</v>
      </c>
      <c r="P16" s="20">
        <f t="shared" si="3"/>
        <v>1375</v>
      </c>
    </row>
    <row r="17" spans="1:16" x14ac:dyDescent="0.25">
      <c r="A17">
        <f>'Airfoil Interpolation'!AW19</f>
        <v>1.1199999999999999E-3</v>
      </c>
      <c r="B17">
        <f>'Airfoil Interpolation'!AX19</f>
        <v>-4.8999999999999998E-3</v>
      </c>
      <c r="D17">
        <f t="shared" si="4"/>
        <v>1.375</v>
      </c>
      <c r="E17">
        <f t="shared" si="4"/>
        <v>0.24973958333333335</v>
      </c>
      <c r="F17">
        <f t="shared" si="4"/>
        <v>0.9453125</v>
      </c>
      <c r="G17">
        <f t="shared" si="4"/>
        <v>1.4314298732636495</v>
      </c>
      <c r="J17">
        <f t="shared" si="5"/>
        <v>0</v>
      </c>
      <c r="K17" s="1">
        <f t="shared" si="0"/>
        <v>1.2419935733976324E-3</v>
      </c>
      <c r="L17" s="1">
        <f t="shared" si="1"/>
        <v>-4.8720272270746639E-3</v>
      </c>
      <c r="N17" s="25">
        <f t="shared" si="2"/>
        <v>945.62277168369917</v>
      </c>
      <c r="O17" s="19">
        <f>L17*E17*1000/COS(G17*3.14/180)-J17*E17*L2*1000/COS(3.14*G2/180)</f>
        <v>-1.2171174820473494</v>
      </c>
      <c r="P17" s="20">
        <f t="shared" si="3"/>
        <v>1375</v>
      </c>
    </row>
    <row r="18" spans="1:16" x14ac:dyDescent="0.25">
      <c r="A18">
        <f>'Airfoil Interpolation'!AW20</f>
        <v>1.077E-2</v>
      </c>
      <c r="B18">
        <f>'Airfoil Interpolation'!AX20</f>
        <v>-1.4710000000000001E-2</v>
      </c>
      <c r="D18">
        <f t="shared" si="4"/>
        <v>1.375</v>
      </c>
      <c r="E18">
        <f t="shared" si="4"/>
        <v>0.24973958333333335</v>
      </c>
      <c r="F18">
        <f t="shared" si="4"/>
        <v>0.9453125</v>
      </c>
      <c r="G18">
        <f t="shared" si="4"/>
        <v>1.4314298732636495</v>
      </c>
      <c r="J18">
        <f t="shared" si="5"/>
        <v>0</v>
      </c>
      <c r="K18" s="1">
        <f t="shared" si="0"/>
        <v>1.1133920356122035E-2</v>
      </c>
      <c r="L18" s="1">
        <f t="shared" si="1"/>
        <v>-1.4441011817494763E-2</v>
      </c>
      <c r="N18" s="25">
        <f t="shared" si="2"/>
        <v>948.09394773778195</v>
      </c>
      <c r="O18" s="19">
        <f>L18*E18*1000/COS(G18*3.14/180)-J18*E18*L2*1000/COS(3.14*G2/180)</f>
        <v>-3.6076169369190358</v>
      </c>
      <c r="P18" s="20">
        <f t="shared" si="3"/>
        <v>1375</v>
      </c>
    </row>
    <row r="19" spans="1:16" x14ac:dyDescent="0.25">
      <c r="A19">
        <f>'Airfoil Interpolation'!AW21</f>
        <v>3.5589999999999997E-2</v>
      </c>
      <c r="B19">
        <f>'Airfoil Interpolation'!AX21</f>
        <v>-2.555E-2</v>
      </c>
      <c r="D19">
        <f t="shared" si="4"/>
        <v>1.375</v>
      </c>
      <c r="E19">
        <f t="shared" si="4"/>
        <v>0.24973958333333335</v>
      </c>
      <c r="F19">
        <f t="shared" si="4"/>
        <v>0.9453125</v>
      </c>
      <c r="G19">
        <f t="shared" si="4"/>
        <v>1.4314298732636495</v>
      </c>
      <c r="J19">
        <f t="shared" si="5"/>
        <v>0</v>
      </c>
      <c r="K19" s="1">
        <f t="shared" si="0"/>
        <v>3.6216834882419627E-2</v>
      </c>
      <c r="L19" s="1">
        <f t="shared" si="1"/>
        <v>-2.4661115188917233E-2</v>
      </c>
      <c r="N19" s="25">
        <f t="shared" si="2"/>
        <v>954.36009781202665</v>
      </c>
      <c r="O19" s="19">
        <f>L19*E19*1000/COS(G19*3.14/180)-J19*E19*L2*1000/COS(3.14*G2/180)</f>
        <v>-6.1607772338408981</v>
      </c>
      <c r="P19" s="20">
        <f t="shared" si="3"/>
        <v>1375</v>
      </c>
    </row>
    <row r="20" spans="1:16" x14ac:dyDescent="0.25">
      <c r="A20">
        <f>'Airfoil Interpolation'!AW22</f>
        <v>9.3899999999999997E-2</v>
      </c>
      <c r="B20">
        <f>'Airfoil Interpolation'!AX22</f>
        <v>-3.814E-2</v>
      </c>
      <c r="D20">
        <f t="shared" ref="D20:G31" si="6">D19</f>
        <v>1.375</v>
      </c>
      <c r="E20">
        <f t="shared" si="6"/>
        <v>0.24973958333333335</v>
      </c>
      <c r="F20">
        <f t="shared" si="6"/>
        <v>0.9453125</v>
      </c>
      <c r="G20">
        <f t="shared" si="6"/>
        <v>1.4314298732636495</v>
      </c>
      <c r="J20">
        <f t="shared" si="5"/>
        <v>0</v>
      </c>
      <c r="K20" s="1">
        <f t="shared" si="0"/>
        <v>9.4823002843484341E-2</v>
      </c>
      <c r="L20" s="1">
        <f t="shared" si="1"/>
        <v>-3.5794782698491949E-2</v>
      </c>
      <c r="N20" s="25">
        <f t="shared" si="2"/>
        <v>969.00094201437832</v>
      </c>
      <c r="O20" s="19">
        <f>L20*E20*1000/COS(G20*3.14/180)-J20*E20*L2*1000/COS(3.14*G2/180)</f>
        <v>-8.9421618061398593</v>
      </c>
      <c r="P20" s="20">
        <f t="shared" si="3"/>
        <v>1375</v>
      </c>
    </row>
    <row r="21" spans="1:16" x14ac:dyDescent="0.25">
      <c r="A21">
        <f>'Airfoil Interpolation'!AW23</f>
        <v>0.17424999999999999</v>
      </c>
      <c r="B21">
        <f>'Airfoil Interpolation'!AX23</f>
        <v>-4.6359999999999998E-2</v>
      </c>
      <c r="D21">
        <f t="shared" si="6"/>
        <v>1.375</v>
      </c>
      <c r="E21">
        <f t="shared" si="6"/>
        <v>0.24973958333333335</v>
      </c>
      <c r="F21">
        <f t="shared" si="6"/>
        <v>0.9453125</v>
      </c>
      <c r="G21">
        <f t="shared" si="6"/>
        <v>1.4314298732636495</v>
      </c>
      <c r="J21">
        <f t="shared" si="5"/>
        <v>0</v>
      </c>
      <c r="K21" s="1">
        <f t="shared" si="0"/>
        <v>0.17535319016651113</v>
      </c>
      <c r="L21" s="1">
        <f t="shared" si="1"/>
        <v>-4.2007985998000229E-2</v>
      </c>
      <c r="N21" s="25">
        <f t="shared" si="2"/>
        <v>989.11878911480494</v>
      </c>
      <c r="O21" s="19">
        <f>L21*E21*1000/COS(G21*3.14/180)-J21*E21*L2*1000/COS(3.14*G2/180)</f>
        <v>-10.494328492179996</v>
      </c>
      <c r="P21" s="20">
        <f t="shared" si="3"/>
        <v>1375</v>
      </c>
    </row>
    <row r="22" spans="1:16" x14ac:dyDescent="0.25">
      <c r="A22">
        <f>'Airfoil Interpolation'!AW24</f>
        <v>0.25903999999999999</v>
      </c>
      <c r="B22">
        <f>'Airfoil Interpolation'!AX24</f>
        <v>-4.9680000000000002E-2</v>
      </c>
      <c r="D22">
        <f t="shared" si="6"/>
        <v>1.375</v>
      </c>
      <c r="E22">
        <f t="shared" si="6"/>
        <v>0.24973958333333335</v>
      </c>
      <c r="F22">
        <f t="shared" si="6"/>
        <v>0.9453125</v>
      </c>
      <c r="G22">
        <f t="shared" si="6"/>
        <v>1.4314298732636495</v>
      </c>
      <c r="J22">
        <f t="shared" si="5"/>
        <v>0</v>
      </c>
      <c r="K22" s="1">
        <f t="shared" si="0"/>
        <v>0.26019965060444017</v>
      </c>
      <c r="L22" s="1">
        <f t="shared" si="1"/>
        <v>-4.321029723341166E-2</v>
      </c>
      <c r="N22" s="25">
        <f t="shared" si="2"/>
        <v>1010.3149166148658</v>
      </c>
      <c r="O22" s="19">
        <f>L22*E22*1000/COS(G22*3.14/180)-J22*E22*L2*1000/COS(3.14*G2/180)</f>
        <v>-10.794686834873383</v>
      </c>
      <c r="P22" s="20">
        <f t="shared" si="3"/>
        <v>1375</v>
      </c>
    </row>
    <row r="23" spans="1:16" x14ac:dyDescent="0.25">
      <c r="A23">
        <f>'Airfoil Interpolation'!AW25</f>
        <v>0.34539999999999998</v>
      </c>
      <c r="B23">
        <f>'Airfoil Interpolation'!AX25</f>
        <v>-4.965E-2</v>
      </c>
      <c r="D23">
        <f t="shared" si="6"/>
        <v>1.375</v>
      </c>
      <c r="E23">
        <f t="shared" si="6"/>
        <v>0.24973958333333335</v>
      </c>
      <c r="F23">
        <f t="shared" si="6"/>
        <v>0.9453125</v>
      </c>
      <c r="G23">
        <f t="shared" si="6"/>
        <v>1.4314298732636495</v>
      </c>
      <c r="J23">
        <f t="shared" si="5"/>
        <v>0</v>
      </c>
      <c r="K23" s="1">
        <f t="shared" si="0"/>
        <v>0.34653197912156058</v>
      </c>
      <c r="L23" s="1">
        <f t="shared" si="1"/>
        <v>-4.1023396635347383E-2</v>
      </c>
      <c r="N23" s="25">
        <f t="shared" si="2"/>
        <v>1031.882239908979</v>
      </c>
      <c r="O23" s="19">
        <f>L23*E23*1000/COS(G23*3.14/180)-J23*E23*L2*1000/COS(3.14*G2/180)</f>
        <v>-10.248360875401678</v>
      </c>
      <c r="P23" s="20">
        <f t="shared" si="3"/>
        <v>1375</v>
      </c>
    </row>
    <row r="24" spans="1:16" x14ac:dyDescent="0.25">
      <c r="A24">
        <f>'Airfoil Interpolation'!AW26</f>
        <v>0.43256</v>
      </c>
      <c r="B24">
        <f>'Airfoil Interpolation'!AX26</f>
        <v>-4.7219999999999998E-2</v>
      </c>
      <c r="D24">
        <f t="shared" si="6"/>
        <v>1.375</v>
      </c>
      <c r="E24">
        <f t="shared" si="6"/>
        <v>0.24973958333333335</v>
      </c>
      <c r="F24">
        <f t="shared" si="6"/>
        <v>0.9453125</v>
      </c>
      <c r="G24">
        <f t="shared" si="6"/>
        <v>1.4314298732636495</v>
      </c>
      <c r="J24">
        <f t="shared" si="5"/>
        <v>0</v>
      </c>
      <c r="K24" s="1">
        <f t="shared" si="0"/>
        <v>0.43360413527165959</v>
      </c>
      <c r="L24" s="1">
        <f t="shared" si="1"/>
        <v>-3.6416515485193576E-2</v>
      </c>
      <c r="N24" s="25">
        <f t="shared" si="2"/>
        <v>1053.6343850654985</v>
      </c>
      <c r="O24" s="19">
        <f>L24*E24*1000/COS(G24*3.14/180)-J24*E24*L2*1000/COS(3.14*G2/180)</f>
        <v>-9.0974815136429985</v>
      </c>
      <c r="P24" s="20">
        <f t="shared" si="3"/>
        <v>1375</v>
      </c>
    </row>
    <row r="25" spans="1:16" x14ac:dyDescent="0.25">
      <c r="A25">
        <f>'Airfoil Interpolation'!AW27</f>
        <v>0.52019000000000004</v>
      </c>
      <c r="B25">
        <f>'Airfoil Interpolation'!AX27</f>
        <v>-4.3020000000000003E-2</v>
      </c>
      <c r="D25">
        <f t="shared" si="6"/>
        <v>1.375</v>
      </c>
      <c r="E25">
        <f t="shared" si="6"/>
        <v>0.24973958333333335</v>
      </c>
      <c r="F25">
        <f t="shared" si="6"/>
        <v>0.9453125</v>
      </c>
      <c r="G25">
        <f t="shared" si="6"/>
        <v>1.4314298732636495</v>
      </c>
      <c r="J25">
        <f t="shared" si="5"/>
        <v>0</v>
      </c>
      <c r="K25" s="1">
        <f t="shared" si="0"/>
        <v>0.5211019517106853</v>
      </c>
      <c r="L25" s="1">
        <f t="shared" si="1"/>
        <v>-3.0027895760687186E-2</v>
      </c>
      <c r="N25" s="25">
        <f t="shared" si="2"/>
        <v>1075.4928675955421</v>
      </c>
      <c r="O25" s="19">
        <f>L25*E25*1000/COS(G25*3.14/180)-J25*E25*L2*1000/COS(3.14*G2/180)</f>
        <v>-7.5014927413228456</v>
      </c>
      <c r="P25" s="20">
        <f t="shared" si="3"/>
        <v>1375</v>
      </c>
    </row>
    <row r="26" spans="1:16" x14ac:dyDescent="0.25">
      <c r="A26">
        <f>'Airfoil Interpolation'!AW28</f>
        <v>0.60809000000000002</v>
      </c>
      <c r="B26">
        <f>'Airfoil Interpolation'!AX28</f>
        <v>-3.7470000000000003E-2</v>
      </c>
      <c r="D26">
        <f t="shared" si="6"/>
        <v>1.375</v>
      </c>
      <c r="E26">
        <f t="shared" si="6"/>
        <v>0.24973958333333335</v>
      </c>
      <c r="F26">
        <f t="shared" si="6"/>
        <v>0.9453125</v>
      </c>
      <c r="G26">
        <f t="shared" si="6"/>
        <v>1.4314298732636495</v>
      </c>
      <c r="J26">
        <f t="shared" si="5"/>
        <v>0</v>
      </c>
      <c r="K26" s="1">
        <f t="shared" si="0"/>
        <v>0.60883597730766892</v>
      </c>
      <c r="L26" s="1">
        <f t="shared" si="1"/>
        <v>-2.2282532599850576E-2</v>
      </c>
      <c r="N26" s="25">
        <f t="shared" si="2"/>
        <v>1097.4103592981887</v>
      </c>
      <c r="O26" s="19">
        <f>L26*E26*1000/COS(G26*3.14/180)-J26*E26*L2*1000/COS(3.14*G2/180)</f>
        <v>-5.5665657656540208</v>
      </c>
      <c r="P26" s="20">
        <f t="shared" si="3"/>
        <v>1375</v>
      </c>
    </row>
    <row r="27" spans="1:16" x14ac:dyDescent="0.25">
      <c r="A27">
        <f>'Airfoil Interpolation'!AW29</f>
        <v>0.69613000000000003</v>
      </c>
      <c r="B27">
        <f>'Airfoil Interpolation'!AX29</f>
        <v>-3.0849999999999999E-2</v>
      </c>
      <c r="D27">
        <f t="shared" si="6"/>
        <v>1.375</v>
      </c>
      <c r="E27">
        <f t="shared" si="6"/>
        <v>0.24973958333333335</v>
      </c>
      <c r="F27">
        <f t="shared" si="6"/>
        <v>0.9453125</v>
      </c>
      <c r="G27">
        <f t="shared" si="6"/>
        <v>1.4314298732636495</v>
      </c>
      <c r="J27">
        <f t="shared" si="5"/>
        <v>0</v>
      </c>
      <c r="K27" s="1">
        <f t="shared" si="0"/>
        <v>0.69668324360280909</v>
      </c>
      <c r="L27" s="1">
        <f t="shared" si="1"/>
        <v>-1.3463672842398295E-2</v>
      </c>
      <c r="N27" s="25">
        <f t="shared" si="2"/>
        <v>1119.3561405047694</v>
      </c>
      <c r="O27" s="19">
        <f>L27*E27*1000/COS(G27*3.14/180)-J27*E27*L2*1000/COS(3.14*G2/180)</f>
        <v>-3.3634605935665807</v>
      </c>
      <c r="P27" s="20">
        <f t="shared" si="3"/>
        <v>1375</v>
      </c>
    </row>
    <row r="28" spans="1:16" x14ac:dyDescent="0.25">
      <c r="A28">
        <f>'Airfoil Interpolation'!AW30</f>
        <v>0.78420000000000001</v>
      </c>
      <c r="B28">
        <f>'Airfoil Interpolation'!AX30</f>
        <v>-2.3300000000000001E-2</v>
      </c>
      <c r="D28">
        <f t="shared" si="6"/>
        <v>1.375</v>
      </c>
      <c r="E28">
        <f t="shared" si="6"/>
        <v>0.24973958333333335</v>
      </c>
      <c r="F28">
        <f t="shared" si="6"/>
        <v>0.9453125</v>
      </c>
      <c r="G28">
        <f t="shared" si="6"/>
        <v>1.4314298732636495</v>
      </c>
      <c r="J28">
        <f t="shared" si="5"/>
        <v>0</v>
      </c>
      <c r="K28" s="1">
        <f t="shared" si="0"/>
        <v>0.78453728039480686</v>
      </c>
      <c r="L28" s="1">
        <f t="shared" si="1"/>
        <v>-3.7140638142426643E-3</v>
      </c>
      <c r="N28" s="25">
        <f t="shared" si="2"/>
        <v>1141.3036130996989</v>
      </c>
      <c r="O28" s="19">
        <f>L28*E28*1000/COS(G28*3.14/180)-J28*E28*L2*1000/COS(3.14*G2/180)</f>
        <v>-0.92783799988499738</v>
      </c>
      <c r="P28" s="20">
        <f t="shared" si="3"/>
        <v>1375</v>
      </c>
    </row>
    <row r="29" spans="1:16" x14ac:dyDescent="0.25">
      <c r="A29">
        <f>'Airfoil Interpolation'!AW31</f>
        <v>0.87217999999999996</v>
      </c>
      <c r="B29">
        <f>'Airfoil Interpolation'!AX31</f>
        <v>-1.49E-2</v>
      </c>
      <c r="D29">
        <f t="shared" si="6"/>
        <v>1.375</v>
      </c>
      <c r="E29">
        <f t="shared" si="6"/>
        <v>0.24973958333333335</v>
      </c>
      <c r="F29">
        <f t="shared" si="6"/>
        <v>0.9453125</v>
      </c>
      <c r="G29">
        <f t="shared" si="6"/>
        <v>1.4314298732636495</v>
      </c>
      <c r="J29">
        <f t="shared" si="5"/>
        <v>0</v>
      </c>
      <c r="K29" s="1">
        <f t="shared" si="0"/>
        <v>0.87228012252558895</v>
      </c>
      <c r="L29" s="1">
        <f t="shared" si="1"/>
        <v>6.8832974018029009E-3</v>
      </c>
      <c r="N29" s="25">
        <f t="shared" si="2"/>
        <v>1163.2233073264526</v>
      </c>
      <c r="O29" s="19">
        <f>L29*E29*1000/COS(G29*3.14/180)-J29*E29*L2*1000/COS(3.14*G2/180)</f>
        <v>1.7195678947171489</v>
      </c>
      <c r="P29" s="20">
        <f t="shared" si="3"/>
        <v>1375</v>
      </c>
    </row>
    <row r="30" spans="1:16" x14ac:dyDescent="0.25">
      <c r="A30">
        <f>'Airfoil Interpolation'!AW32</f>
        <v>0.95823000000000003</v>
      </c>
      <c r="B30">
        <f>'Airfoil Interpolation'!AX32</f>
        <v>-5.8100000000000001E-3</v>
      </c>
      <c r="D30">
        <f t="shared" si="6"/>
        <v>1.375</v>
      </c>
      <c r="E30">
        <f t="shared" si="6"/>
        <v>0.24973958333333335</v>
      </c>
      <c r="F30">
        <f t="shared" si="6"/>
        <v>0.9453125</v>
      </c>
      <c r="G30">
        <f t="shared" si="6"/>
        <v>1.4314298732636495</v>
      </c>
      <c r="J30">
        <f t="shared" si="5"/>
        <v>0</v>
      </c>
      <c r="K30" s="1">
        <f t="shared" si="0"/>
        <v>0.95807633847374329</v>
      </c>
      <c r="L30" s="1">
        <f t="shared" si="1"/>
        <v>1.8122455535932485E-2</v>
      </c>
      <c r="N30" s="25">
        <f t="shared" si="2"/>
        <v>1184.6567003386481</v>
      </c>
      <c r="O30" s="19">
        <f>L30*E30*1000/COS(G30*3.14/180)-J30*E30*L2*1000/COS(3.14*G2/180)</f>
        <v>4.5273058672237934</v>
      </c>
      <c r="P30" s="20">
        <f t="shared" si="3"/>
        <v>1375</v>
      </c>
    </row>
    <row r="31" spans="1:16" ht="15.75" thickBot="1" x14ac:dyDescent="0.3">
      <c r="A31">
        <f>'Airfoil Interpolation'!AW33</f>
        <v>1</v>
      </c>
      <c r="B31">
        <f>'Airfoil Interpolation'!AX33</f>
        <v>-1.0499999999999999E-3</v>
      </c>
      <c r="D31">
        <f t="shared" si="6"/>
        <v>1.375</v>
      </c>
      <c r="E31">
        <f t="shared" si="6"/>
        <v>0.24973958333333335</v>
      </c>
      <c r="F31">
        <f t="shared" si="6"/>
        <v>0.9453125</v>
      </c>
      <c r="G31">
        <f t="shared" si="6"/>
        <v>1.4314298732636495</v>
      </c>
      <c r="J31">
        <f t="shared" si="5"/>
        <v>0</v>
      </c>
      <c r="K31" s="1">
        <f t="shared" si="0"/>
        <v>0.99971446959057486</v>
      </c>
      <c r="L31" s="1">
        <f t="shared" si="1"/>
        <v>2.3925690111906834E-2</v>
      </c>
      <c r="N31" s="26">
        <f t="shared" si="2"/>
        <v>1195.0586326226974</v>
      </c>
      <c r="O31" s="27">
        <f>L31*E31*1000/COS(G31*3.14/180)-J31*E31*L2*1000/COS(3.14*G2/180)</f>
        <v>5.9770552067981999</v>
      </c>
      <c r="P31" s="28">
        <f t="shared" si="3"/>
        <v>1375</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topLeftCell="A15" workbookViewId="0">
      <selection activeCell="T35" sqref="T35"/>
    </sheetView>
  </sheetViews>
  <sheetFormatPr defaultRowHeight="15" x14ac:dyDescent="0.25"/>
  <sheetData>
    <row r="1" spans="1:16" ht="15.75" thickBot="1" x14ac:dyDescent="0.3">
      <c r="A1" t="s">
        <v>3</v>
      </c>
      <c r="D1" t="s">
        <v>0</v>
      </c>
      <c r="E1" t="s">
        <v>1</v>
      </c>
      <c r="F1" t="s">
        <v>2</v>
      </c>
      <c r="G1" t="s">
        <v>5</v>
      </c>
      <c r="J1" t="s">
        <v>10</v>
      </c>
      <c r="K1" t="s">
        <v>9</v>
      </c>
      <c r="N1" s="6" t="s">
        <v>6</v>
      </c>
      <c r="O1" s="6" t="s">
        <v>7</v>
      </c>
      <c r="P1" s="6" t="s">
        <v>8</v>
      </c>
    </row>
    <row r="2" spans="1:16" x14ac:dyDescent="0.25">
      <c r="A2">
        <f>'Airfoil Interpolation'!E4</f>
        <v>1</v>
      </c>
      <c r="B2">
        <f>'Airfoil Interpolation'!F4</f>
        <v>1.0499999999999999E-3</v>
      </c>
      <c r="D2" s="4">
        <f>'Loft Viewer'!N5</f>
        <v>1.5</v>
      </c>
      <c r="E2" s="4">
        <f>'Loft Viewer'!N6</f>
        <v>0.125</v>
      </c>
      <c r="F2" s="4">
        <f>'Loft Viewer'!N7</f>
        <v>1.125</v>
      </c>
      <c r="G2" s="4">
        <f>-'Loft Viewer'!N8</f>
        <v>3.905899412086856</v>
      </c>
      <c r="J2">
        <f>'Loft Viewer'!B2</f>
        <v>0</v>
      </c>
      <c r="K2" s="1">
        <f>(A2-J2)*COS(3.14*G2/180)-B2*SIN(3.14*G2/180)+J2</f>
        <v>0.99760813623799682</v>
      </c>
      <c r="L2" s="1">
        <f>(A2-J2)*SIN(3.14*G2/180)+B2*COS(3.14*G2/180)</f>
        <v>6.913110017749137E-2</v>
      </c>
      <c r="N2" s="22">
        <f>K2*E2*1000/COS(G2*3.14/180)+F2*1000</f>
        <v>1249.9910432528031</v>
      </c>
      <c r="O2" s="23">
        <f>L2*E2*1000/COS(G2*3.14/180)</f>
        <v>8.6614854255130993</v>
      </c>
      <c r="P2" s="24">
        <f>D2*1000</f>
        <v>1500</v>
      </c>
    </row>
    <row r="3" spans="1:16" x14ac:dyDescent="0.25">
      <c r="A3">
        <f>'Airfoil Interpolation'!E5</f>
        <v>0.95823000000000003</v>
      </c>
      <c r="B3">
        <f>'Airfoil Interpolation'!F5</f>
        <v>5.8100000000000001E-3</v>
      </c>
      <c r="D3">
        <f>D2</f>
        <v>1.5</v>
      </c>
      <c r="E3">
        <f>E2</f>
        <v>0.125</v>
      </c>
      <c r="F3">
        <f>F2</f>
        <v>1.125</v>
      </c>
      <c r="G3">
        <f>G2</f>
        <v>3.905899412086856</v>
      </c>
      <c r="J3">
        <f>J2</f>
        <v>0</v>
      </c>
      <c r="K3" s="1">
        <f t="shared" ref="K3:K31" si="0">(A3-J3)*COS(3.14*G3/180)-B3*SIN(3.14*G3/180)+J3</f>
        <v>0.95561098071146255</v>
      </c>
      <c r="L3" s="1">
        <f t="shared" ref="L3:L31" si="1">(A3-J3)*SIN(3.14*G3/180)+B3*COS(3.14*G3/180)</f>
        <v>7.1036205864873275E-2</v>
      </c>
      <c r="N3" s="25">
        <f t="shared" ref="N3:N31" si="2">K3*E3*1000/COS(G3*3.14/180)+F3*1000</f>
        <v>1244.7291893321778</v>
      </c>
      <c r="O3" s="19">
        <f t="shared" ref="O3:O31" si="3">L3*E3*1000/COS(G3*3.14/180)</f>
        <v>8.9001774917894174</v>
      </c>
      <c r="P3" s="20">
        <f t="shared" ref="P3:P31" si="4">D3*1000</f>
        <v>1500</v>
      </c>
    </row>
    <row r="4" spans="1:16" x14ac:dyDescent="0.25">
      <c r="A4">
        <f>'Airfoil Interpolation'!E6</f>
        <v>0.87217999999999996</v>
      </c>
      <c r="B4">
        <f>'Airfoil Interpolation'!F6</f>
        <v>1.49E-2</v>
      </c>
      <c r="D4">
        <f t="shared" ref="D4:G19" si="5">D3</f>
        <v>1.5</v>
      </c>
      <c r="E4">
        <f t="shared" si="5"/>
        <v>0.125</v>
      </c>
      <c r="F4">
        <f t="shared" si="5"/>
        <v>1.125</v>
      </c>
      <c r="G4">
        <f t="shared" si="5"/>
        <v>3.905899412086856</v>
      </c>
      <c r="J4">
        <f t="shared" ref="J4:J31" si="6">J3</f>
        <v>0</v>
      </c>
      <c r="K4" s="1">
        <f t="shared" si="0"/>
        <v>0.86914176972300206</v>
      </c>
      <c r="L4" s="1">
        <f t="shared" si="1"/>
        <v>7.4246525324541415E-2</v>
      </c>
      <c r="N4" s="25">
        <f t="shared" si="2"/>
        <v>1233.8953994921599</v>
      </c>
      <c r="O4" s="19">
        <f t="shared" si="3"/>
        <v>9.3024007334240135</v>
      </c>
      <c r="P4" s="20">
        <f t="shared" si="4"/>
        <v>1500</v>
      </c>
    </row>
    <row r="5" spans="1:16" x14ac:dyDescent="0.25">
      <c r="A5">
        <f>'Airfoil Interpolation'!E7</f>
        <v>0.78420000000000001</v>
      </c>
      <c r="B5">
        <f>'Airfoil Interpolation'!F7</f>
        <v>2.3300000000000001E-2</v>
      </c>
      <c r="D5">
        <f t="shared" si="5"/>
        <v>1.5</v>
      </c>
      <c r="E5">
        <f t="shared" si="5"/>
        <v>0.125</v>
      </c>
      <c r="F5">
        <f t="shared" si="5"/>
        <v>1.125</v>
      </c>
      <c r="G5">
        <f t="shared" si="5"/>
        <v>3.905899412086856</v>
      </c>
      <c r="J5">
        <f t="shared" si="6"/>
        <v>0</v>
      </c>
      <c r="K5" s="1">
        <f t="shared" si="0"/>
        <v>0.78079401470055054</v>
      </c>
      <c r="L5" s="1">
        <f t="shared" si="1"/>
        <v>7.6637044618098477E-2</v>
      </c>
      <c r="N5" s="25">
        <f t="shared" si="2"/>
        <v>1222.8262455145855</v>
      </c>
      <c r="O5" s="19">
        <f t="shared" si="3"/>
        <v>9.6019106206873719</v>
      </c>
      <c r="P5" s="20">
        <f t="shared" si="4"/>
        <v>1500</v>
      </c>
    </row>
    <row r="6" spans="1:16" x14ac:dyDescent="0.25">
      <c r="A6">
        <f>'Airfoil Interpolation'!E8</f>
        <v>0.69613000000000003</v>
      </c>
      <c r="B6">
        <f>'Airfoil Interpolation'!F8</f>
        <v>3.0849999999999999E-2</v>
      </c>
      <c r="D6">
        <f t="shared" si="5"/>
        <v>1.5</v>
      </c>
      <c r="E6">
        <f t="shared" si="5"/>
        <v>0.125</v>
      </c>
      <c r="F6">
        <f t="shared" si="5"/>
        <v>1.125</v>
      </c>
      <c r="G6">
        <f t="shared" si="5"/>
        <v>3.905899412086856</v>
      </c>
      <c r="J6">
        <f t="shared" si="6"/>
        <v>0</v>
      </c>
      <c r="K6" s="1">
        <f t="shared" si="0"/>
        <v>0.69241433951802978</v>
      </c>
      <c r="L6" s="1">
        <f t="shared" si="1"/>
        <v>7.8173408713005335E-2</v>
      </c>
      <c r="N6" s="25">
        <f t="shared" si="2"/>
        <v>1211.7530922371229</v>
      </c>
      <c r="O6" s="19">
        <f t="shared" si="3"/>
        <v>9.7944027867624328</v>
      </c>
      <c r="P6" s="20">
        <f t="shared" si="4"/>
        <v>1500</v>
      </c>
    </row>
    <row r="7" spans="1:16" x14ac:dyDescent="0.25">
      <c r="A7">
        <f>'Airfoil Interpolation'!E9</f>
        <v>0.60809000000000002</v>
      </c>
      <c r="B7">
        <f>'Airfoil Interpolation'!F9</f>
        <v>3.7470000000000003E-2</v>
      </c>
      <c r="D7">
        <f t="shared" si="5"/>
        <v>1.5</v>
      </c>
      <c r="E7">
        <f t="shared" si="5"/>
        <v>0.125</v>
      </c>
      <c r="F7">
        <f t="shared" si="5"/>
        <v>1.125</v>
      </c>
      <c r="G7">
        <f t="shared" si="5"/>
        <v>3.905899412086856</v>
      </c>
      <c r="J7">
        <f t="shared" si="6"/>
        <v>0</v>
      </c>
      <c r="K7" s="1">
        <f t="shared" si="0"/>
        <v>0.60412791241323982</v>
      </c>
      <c r="L7" s="1">
        <f t="shared" si="1"/>
        <v>7.8783973263734569E-2</v>
      </c>
      <c r="N7" s="25">
        <f t="shared" si="2"/>
        <v>1200.6916220786061</v>
      </c>
      <c r="O7" s="19">
        <f t="shared" si="3"/>
        <v>9.8709008599002601</v>
      </c>
      <c r="P7" s="20">
        <f t="shared" si="4"/>
        <v>1500</v>
      </c>
    </row>
    <row r="8" spans="1:16" x14ac:dyDescent="0.25">
      <c r="A8">
        <f>'Airfoil Interpolation'!E10</f>
        <v>0.52019000000000004</v>
      </c>
      <c r="B8">
        <f>'Airfoil Interpolation'!F10</f>
        <v>4.3020000000000003E-2</v>
      </c>
      <c r="D8">
        <f t="shared" si="5"/>
        <v>1.5</v>
      </c>
      <c r="E8">
        <f t="shared" si="5"/>
        <v>0.125</v>
      </c>
      <c r="F8">
        <f t="shared" si="5"/>
        <v>1.125</v>
      </c>
      <c r="G8">
        <f t="shared" si="5"/>
        <v>3.905899412086856</v>
      </c>
      <c r="J8">
        <f t="shared" si="6"/>
        <v>0</v>
      </c>
      <c r="K8" s="1">
        <f t="shared" si="0"/>
        <v>0.51605400983993555</v>
      </c>
      <c r="L8" s="1">
        <f t="shared" si="1"/>
        <v>7.8336552311955937E-2</v>
      </c>
      <c r="N8" s="25">
        <f t="shared" si="2"/>
        <v>1189.6567792719945</v>
      </c>
      <c r="O8" s="19">
        <f t="shared" si="3"/>
        <v>9.8148431659976616</v>
      </c>
      <c r="P8" s="20">
        <f t="shared" si="4"/>
        <v>1500</v>
      </c>
    </row>
    <row r="9" spans="1:16" x14ac:dyDescent="0.25">
      <c r="A9">
        <f>'Airfoil Interpolation'!E11</f>
        <v>0.43256</v>
      </c>
      <c r="B9">
        <f>'Airfoil Interpolation'!F11</f>
        <v>4.7219999999999998E-2</v>
      </c>
      <c r="D9">
        <f t="shared" si="5"/>
        <v>1.5</v>
      </c>
      <c r="E9">
        <f t="shared" si="5"/>
        <v>0.125</v>
      </c>
      <c r="F9">
        <f t="shared" si="5"/>
        <v>1.125</v>
      </c>
      <c r="G9">
        <f t="shared" si="5"/>
        <v>3.905899412086856</v>
      </c>
      <c r="J9">
        <f t="shared" si="6"/>
        <v>0</v>
      </c>
      <c r="K9" s="1">
        <f t="shared" si="0"/>
        <v>0.42834139353947059</v>
      </c>
      <c r="L9" s="1">
        <f t="shared" si="1"/>
        <v>7.6560646422717427E-2</v>
      </c>
      <c r="N9" s="25">
        <f t="shared" si="2"/>
        <v>1178.6672022832072</v>
      </c>
      <c r="O9" s="19">
        <f t="shared" si="3"/>
        <v>9.5923386356599458</v>
      </c>
      <c r="P9" s="20">
        <f t="shared" si="4"/>
        <v>1500</v>
      </c>
    </row>
    <row r="10" spans="1:16" x14ac:dyDescent="0.25">
      <c r="A10">
        <f>'Airfoil Interpolation'!E12</f>
        <v>0.34539999999999998</v>
      </c>
      <c r="B10">
        <f>'Airfoil Interpolation'!F12</f>
        <v>4.965E-2</v>
      </c>
      <c r="D10">
        <f t="shared" si="5"/>
        <v>1.5</v>
      </c>
      <c r="E10">
        <f t="shared" si="5"/>
        <v>0.125</v>
      </c>
      <c r="F10">
        <f t="shared" si="5"/>
        <v>1.125</v>
      </c>
      <c r="G10">
        <f t="shared" si="5"/>
        <v>3.905899412086856</v>
      </c>
      <c r="J10">
        <f t="shared" si="6"/>
        <v>0</v>
      </c>
      <c r="K10" s="1">
        <f t="shared" si="0"/>
        <v>0.34121819452199598</v>
      </c>
      <c r="L10" s="1">
        <f t="shared" si="1"/>
        <v>7.3050846861273971E-2</v>
      </c>
      <c r="N10" s="25">
        <f t="shared" si="2"/>
        <v>1167.7514738111233</v>
      </c>
      <c r="O10" s="19">
        <f t="shared" si="3"/>
        <v>9.1525933159722257</v>
      </c>
      <c r="P10" s="20">
        <f t="shared" si="4"/>
        <v>1500</v>
      </c>
    </row>
    <row r="11" spans="1:16" x14ac:dyDescent="0.25">
      <c r="A11">
        <f>'Airfoil Interpolation'!E13</f>
        <v>0.25903999999999999</v>
      </c>
      <c r="B11">
        <f>'Airfoil Interpolation'!F13</f>
        <v>4.9680000000000002E-2</v>
      </c>
      <c r="D11">
        <f t="shared" si="5"/>
        <v>1.5</v>
      </c>
      <c r="E11">
        <f t="shared" si="5"/>
        <v>0.125</v>
      </c>
      <c r="F11">
        <f t="shared" si="5"/>
        <v>1.125</v>
      </c>
      <c r="G11">
        <f t="shared" si="5"/>
        <v>3.905899412086856</v>
      </c>
      <c r="J11">
        <f t="shared" si="6"/>
        <v>0</v>
      </c>
      <c r="K11" s="1">
        <f t="shared" si="0"/>
        <v>0.25505653969145609</v>
      </c>
      <c r="L11" s="1">
        <f t="shared" si="1"/>
        <v>6.7201083031605019E-2</v>
      </c>
      <c r="N11" s="25">
        <f t="shared" si="2"/>
        <v>1156.9562179040604</v>
      </c>
      <c r="O11" s="19">
        <f t="shared" si="3"/>
        <v>8.4196721846249147</v>
      </c>
      <c r="P11" s="20">
        <f t="shared" si="4"/>
        <v>1500</v>
      </c>
    </row>
    <row r="12" spans="1:16" x14ac:dyDescent="0.25">
      <c r="A12">
        <f>'Airfoil Interpolation'!E14</f>
        <v>0.17424999999999999</v>
      </c>
      <c r="B12">
        <f>'Airfoil Interpolation'!F14</f>
        <v>4.6359999999999998E-2</v>
      </c>
      <c r="D12">
        <f t="shared" si="5"/>
        <v>1.5</v>
      </c>
      <c r="E12">
        <f t="shared" si="5"/>
        <v>0.125</v>
      </c>
      <c r="F12">
        <f t="shared" si="5"/>
        <v>1.125</v>
      </c>
      <c r="G12">
        <f t="shared" si="5"/>
        <v>3.905899412086856</v>
      </c>
      <c r="J12">
        <f t="shared" si="6"/>
        <v>0</v>
      </c>
      <c r="K12" s="1">
        <f t="shared" si="0"/>
        <v>0.17068932171803727</v>
      </c>
      <c r="L12" s="1">
        <f t="shared" si="1"/>
        <v>5.8115983614117461E-2</v>
      </c>
      <c r="N12" s="25">
        <f t="shared" si="2"/>
        <v>1146.3857882856732</v>
      </c>
      <c r="O12" s="19">
        <f t="shared" si="3"/>
        <v>7.281393522895657</v>
      </c>
      <c r="P12" s="20">
        <f t="shared" si="4"/>
        <v>1500</v>
      </c>
    </row>
    <row r="13" spans="1:16" x14ac:dyDescent="0.25">
      <c r="A13">
        <f>'Airfoil Interpolation'!E15</f>
        <v>9.3899999999999997E-2</v>
      </c>
      <c r="B13">
        <f>'Airfoil Interpolation'!F15</f>
        <v>3.814E-2</v>
      </c>
      <c r="D13">
        <f t="shared" si="5"/>
        <v>1.5</v>
      </c>
      <c r="E13">
        <f t="shared" si="5"/>
        <v>0.125</v>
      </c>
      <c r="F13">
        <f t="shared" si="5"/>
        <v>1.125</v>
      </c>
      <c r="G13">
        <f t="shared" si="5"/>
        <v>3.905899412086856</v>
      </c>
      <c r="J13">
        <f t="shared" si="6"/>
        <v>0</v>
      </c>
      <c r="K13" s="1">
        <f t="shared" si="0"/>
        <v>9.1085410604167097E-2</v>
      </c>
      <c r="L13" s="1">
        <f t="shared" si="1"/>
        <v>4.4444544941649261E-2</v>
      </c>
      <c r="N13" s="25">
        <f t="shared" si="2"/>
        <v>1136.4121568208709</v>
      </c>
      <c r="O13" s="19">
        <f t="shared" si="3"/>
        <v>5.5684891064556803</v>
      </c>
      <c r="P13" s="20">
        <f t="shared" si="4"/>
        <v>1500</v>
      </c>
    </row>
    <row r="14" spans="1:16" x14ac:dyDescent="0.25">
      <c r="A14">
        <f>'Airfoil Interpolation'!E16</f>
        <v>3.5589999999999997E-2</v>
      </c>
      <c r="B14">
        <f>'Airfoil Interpolation'!F16</f>
        <v>2.555E-2</v>
      </c>
      <c r="D14">
        <f t="shared" si="5"/>
        <v>1.5</v>
      </c>
      <c r="E14">
        <f t="shared" si="5"/>
        <v>0.125</v>
      </c>
      <c r="F14">
        <f t="shared" si="5"/>
        <v>1.125</v>
      </c>
      <c r="G14">
        <f t="shared" si="5"/>
        <v>3.905899412086856</v>
      </c>
      <c r="J14">
        <f t="shared" si="6"/>
        <v>0</v>
      </c>
      <c r="K14" s="1">
        <f t="shared" si="0"/>
        <v>3.3767883457006896E-2</v>
      </c>
      <c r="L14" s="1">
        <f t="shared" si="1"/>
        <v>2.791380745856788E-2</v>
      </c>
      <c r="N14" s="25">
        <f t="shared" si="2"/>
        <v>1129.230802484878</v>
      </c>
      <c r="O14" s="19">
        <f t="shared" si="3"/>
        <v>3.4973410787940113</v>
      </c>
      <c r="P14" s="20">
        <f t="shared" si="4"/>
        <v>1500</v>
      </c>
    </row>
    <row r="15" spans="1:16" x14ac:dyDescent="0.25">
      <c r="A15">
        <f>'Airfoil Interpolation'!E17</f>
        <v>1.077E-2</v>
      </c>
      <c r="B15">
        <f>'Airfoil Interpolation'!F17</f>
        <v>1.4710000000000001E-2</v>
      </c>
      <c r="D15">
        <f t="shared" si="5"/>
        <v>1.5</v>
      </c>
      <c r="E15">
        <f t="shared" si="5"/>
        <v>0.125</v>
      </c>
      <c r="F15">
        <f t="shared" si="5"/>
        <v>1.125</v>
      </c>
      <c r="G15">
        <f t="shared" si="5"/>
        <v>3.905899412086856</v>
      </c>
      <c r="J15">
        <f t="shared" si="6"/>
        <v>0</v>
      </c>
      <c r="K15" s="1">
        <f t="shared" si="0"/>
        <v>9.7435007269773971E-3</v>
      </c>
      <c r="L15" s="1">
        <f t="shared" si="1"/>
        <v>1.5409126957209189E-2</v>
      </c>
      <c r="N15" s="25">
        <f t="shared" si="2"/>
        <v>1126.2207702368908</v>
      </c>
      <c r="O15" s="19">
        <f t="shared" si="3"/>
        <v>1.9306206355327762</v>
      </c>
      <c r="P15" s="20">
        <f t="shared" si="4"/>
        <v>1500</v>
      </c>
    </row>
    <row r="16" spans="1:16" x14ac:dyDescent="0.25">
      <c r="A16">
        <f>'Airfoil Interpolation'!E18</f>
        <v>1.1199999999999999E-3</v>
      </c>
      <c r="B16">
        <f>'Airfoil Interpolation'!F18</f>
        <v>4.8999999999999998E-3</v>
      </c>
      <c r="D16">
        <f t="shared" si="5"/>
        <v>1.5</v>
      </c>
      <c r="E16">
        <f t="shared" si="5"/>
        <v>0.125</v>
      </c>
      <c r="F16">
        <f t="shared" si="5"/>
        <v>1.125</v>
      </c>
      <c r="G16">
        <f t="shared" si="5"/>
        <v>3.905899412086856</v>
      </c>
      <c r="J16">
        <f t="shared" si="6"/>
        <v>0</v>
      </c>
      <c r="K16" s="1">
        <f t="shared" si="0"/>
        <v>7.8379184962108761E-4</v>
      </c>
      <c r="L16" s="1">
        <f t="shared" si="1"/>
        <v>4.9648837183228723E-3</v>
      </c>
      <c r="N16" s="25">
        <f t="shared" si="2"/>
        <v>1125.0982018464149</v>
      </c>
      <c r="O16" s="19">
        <f t="shared" si="3"/>
        <v>0.62205386367657467</v>
      </c>
      <c r="P16" s="20">
        <f t="shared" si="4"/>
        <v>1500</v>
      </c>
    </row>
    <row r="17" spans="1:16" x14ac:dyDescent="0.25">
      <c r="A17">
        <f>'Airfoil Interpolation'!E19</f>
        <v>1.1199999999999999E-3</v>
      </c>
      <c r="B17">
        <f>'Airfoil Interpolation'!F19</f>
        <v>-4.8999999999999998E-3</v>
      </c>
      <c r="D17">
        <f t="shared" si="5"/>
        <v>1.5</v>
      </c>
      <c r="E17">
        <f t="shared" si="5"/>
        <v>0.125</v>
      </c>
      <c r="F17">
        <f t="shared" si="5"/>
        <v>1.125</v>
      </c>
      <c r="G17">
        <f t="shared" si="5"/>
        <v>3.905899412086856</v>
      </c>
      <c r="J17">
        <f t="shared" si="6"/>
        <v>0</v>
      </c>
      <c r="K17" s="1">
        <f t="shared" si="0"/>
        <v>1.4510105080300429E-3</v>
      </c>
      <c r="L17" s="1">
        <f t="shared" si="1"/>
        <v>-4.8123765964008256E-3</v>
      </c>
      <c r="N17" s="25">
        <f t="shared" si="2"/>
        <v>1125.1817981535851</v>
      </c>
      <c r="O17" s="19">
        <f t="shared" si="3"/>
        <v>-0.60294613632342531</v>
      </c>
      <c r="P17" s="20">
        <f t="shared" si="4"/>
        <v>1500</v>
      </c>
    </row>
    <row r="18" spans="1:16" x14ac:dyDescent="0.25">
      <c r="A18">
        <f>'Airfoil Interpolation'!E20</f>
        <v>1.077E-2</v>
      </c>
      <c r="B18">
        <f>'Airfoil Interpolation'!F20</f>
        <v>-1.4710000000000001E-2</v>
      </c>
      <c r="D18">
        <f t="shared" si="5"/>
        <v>1.5</v>
      </c>
      <c r="E18">
        <f t="shared" si="5"/>
        <v>0.125</v>
      </c>
      <c r="F18">
        <f t="shared" si="5"/>
        <v>1.125</v>
      </c>
      <c r="G18">
        <f t="shared" si="5"/>
        <v>3.905899412086856</v>
      </c>
      <c r="J18">
        <f t="shared" si="6"/>
        <v>0</v>
      </c>
      <c r="K18" s="1">
        <f t="shared" si="0"/>
        <v>1.1746518372935711E-2</v>
      </c>
      <c r="L18" s="1">
        <f t="shared" si="1"/>
        <v>-1.3942607579440935E-2</v>
      </c>
      <c r="N18" s="25">
        <f t="shared" si="2"/>
        <v>1126.4717297631094</v>
      </c>
      <c r="O18" s="19">
        <f t="shared" si="3"/>
        <v>-1.746879364467224</v>
      </c>
      <c r="P18" s="20">
        <f t="shared" si="4"/>
        <v>1500</v>
      </c>
    </row>
    <row r="19" spans="1:16" x14ac:dyDescent="0.25">
      <c r="A19">
        <f>'Airfoil Interpolation'!E21</f>
        <v>3.5589999999999997E-2</v>
      </c>
      <c r="B19">
        <f>'Airfoil Interpolation'!F21</f>
        <v>-2.555E-2</v>
      </c>
      <c r="D19">
        <f t="shared" si="5"/>
        <v>1.5</v>
      </c>
      <c r="E19">
        <f t="shared" si="5"/>
        <v>0.125</v>
      </c>
      <c r="F19">
        <f t="shared" si="5"/>
        <v>1.125</v>
      </c>
      <c r="G19">
        <f t="shared" si="5"/>
        <v>3.905899412086856</v>
      </c>
      <c r="J19">
        <f t="shared" si="6"/>
        <v>0</v>
      </c>
      <c r="K19" s="1">
        <f t="shared" si="0"/>
        <v>3.7246952175853588E-2</v>
      </c>
      <c r="L19" s="1">
        <f t="shared" si="1"/>
        <v>-2.3067621325348547E-2</v>
      </c>
      <c r="N19" s="25">
        <f t="shared" si="2"/>
        <v>1129.6666975151218</v>
      </c>
      <c r="O19" s="19">
        <f t="shared" si="3"/>
        <v>-2.8901589212059888</v>
      </c>
      <c r="P19" s="20">
        <f t="shared" si="4"/>
        <v>1500</v>
      </c>
    </row>
    <row r="20" spans="1:16" x14ac:dyDescent="0.25">
      <c r="A20">
        <f>'Airfoil Interpolation'!E22</f>
        <v>9.3899999999999997E-2</v>
      </c>
      <c r="B20">
        <f>'Airfoil Interpolation'!F22</f>
        <v>-3.814E-2</v>
      </c>
      <c r="D20">
        <f t="shared" ref="D20:G31" si="7">D19</f>
        <v>1.5</v>
      </c>
      <c r="E20">
        <f t="shared" si="7"/>
        <v>0.125</v>
      </c>
      <c r="F20">
        <f t="shared" si="7"/>
        <v>1.125</v>
      </c>
      <c r="G20">
        <f t="shared" si="7"/>
        <v>3.905899412086856</v>
      </c>
      <c r="J20">
        <f t="shared" si="6"/>
        <v>0</v>
      </c>
      <c r="K20" s="1">
        <f t="shared" si="0"/>
        <v>9.6278822773905384E-2</v>
      </c>
      <c r="L20" s="1">
        <f t="shared" si="1"/>
        <v>-3.1658456773363361E-2</v>
      </c>
      <c r="N20" s="25">
        <f t="shared" si="2"/>
        <v>1137.062843179129</v>
      </c>
      <c r="O20" s="19">
        <f t="shared" si="3"/>
        <v>-3.9665108935443203</v>
      </c>
      <c r="P20" s="20">
        <f t="shared" si="4"/>
        <v>1500</v>
      </c>
    </row>
    <row r="21" spans="1:16" x14ac:dyDescent="0.25">
      <c r="A21">
        <f>'Airfoil Interpolation'!E23</f>
        <v>0.17424999999999999</v>
      </c>
      <c r="B21">
        <f>'Airfoil Interpolation'!F23</f>
        <v>-4.6359999999999998E-2</v>
      </c>
      <c r="D21">
        <f t="shared" si="7"/>
        <v>1.5</v>
      </c>
      <c r="E21">
        <f t="shared" si="7"/>
        <v>0.125</v>
      </c>
      <c r="F21">
        <f t="shared" si="7"/>
        <v>1.125</v>
      </c>
      <c r="G21">
        <f t="shared" si="7"/>
        <v>3.905899412086856</v>
      </c>
      <c r="J21">
        <f t="shared" si="6"/>
        <v>0</v>
      </c>
      <c r="K21" s="1">
        <f t="shared" si="0"/>
        <v>0.17700202722902483</v>
      </c>
      <c r="L21" s="1">
        <f t="shared" si="1"/>
        <v>-3.4388871118656142E-2</v>
      </c>
      <c r="N21" s="25">
        <f t="shared" si="2"/>
        <v>1147.1767117143268</v>
      </c>
      <c r="O21" s="19">
        <f t="shared" si="3"/>
        <v>-4.3086064771043429</v>
      </c>
      <c r="P21" s="20">
        <f t="shared" si="4"/>
        <v>1500</v>
      </c>
    </row>
    <row r="22" spans="1:16" x14ac:dyDescent="0.25">
      <c r="A22">
        <f>'Airfoil Interpolation'!E24</f>
        <v>0.25903999999999999</v>
      </c>
      <c r="B22">
        <f>'Airfoil Interpolation'!F24</f>
        <v>-4.9680000000000002E-2</v>
      </c>
      <c r="D22">
        <f t="shared" si="7"/>
        <v>1.5</v>
      </c>
      <c r="E22">
        <f t="shared" si="7"/>
        <v>0.125</v>
      </c>
      <c r="F22">
        <f t="shared" si="7"/>
        <v>1.125</v>
      </c>
      <c r="G22">
        <f t="shared" si="7"/>
        <v>3.905899412086856</v>
      </c>
      <c r="J22">
        <f t="shared" si="6"/>
        <v>0</v>
      </c>
      <c r="K22" s="1">
        <f t="shared" si="0"/>
        <v>0.26182131988528407</v>
      </c>
      <c r="L22" s="1">
        <f t="shared" si="1"/>
        <v>-3.1928364404205864E-2</v>
      </c>
      <c r="N22" s="25">
        <f t="shared" si="2"/>
        <v>1157.8037820959396</v>
      </c>
      <c r="O22" s="19">
        <f t="shared" si="3"/>
        <v>-4.000327815375087</v>
      </c>
      <c r="P22" s="20">
        <f t="shared" si="4"/>
        <v>1500</v>
      </c>
    </row>
    <row r="23" spans="1:16" x14ac:dyDescent="0.25">
      <c r="A23">
        <f>'Airfoil Interpolation'!E25</f>
        <v>0.34539999999999998</v>
      </c>
      <c r="B23">
        <f>'Airfoil Interpolation'!F25</f>
        <v>-4.965E-2</v>
      </c>
      <c r="D23">
        <f t="shared" si="7"/>
        <v>1.5</v>
      </c>
      <c r="E23">
        <f t="shared" si="7"/>
        <v>0.125</v>
      </c>
      <c r="F23">
        <f t="shared" si="7"/>
        <v>1.125</v>
      </c>
      <c r="G23">
        <f t="shared" si="7"/>
        <v>3.905899412086856</v>
      </c>
      <c r="J23">
        <f t="shared" si="6"/>
        <v>0</v>
      </c>
      <c r="K23" s="1">
        <f t="shared" si="0"/>
        <v>0.34797888970362956</v>
      </c>
      <c r="L23" s="1">
        <f t="shared" si="1"/>
        <v>-2.6018739797099837E-2</v>
      </c>
      <c r="N23" s="25">
        <f t="shared" si="2"/>
        <v>1168.5985261888768</v>
      </c>
      <c r="O23" s="19">
        <f t="shared" si="3"/>
        <v>-3.2599066840277762</v>
      </c>
      <c r="P23" s="20">
        <f t="shared" si="4"/>
        <v>1500</v>
      </c>
    </row>
    <row r="24" spans="1:16" x14ac:dyDescent="0.25">
      <c r="A24">
        <f>'Airfoil Interpolation'!E26</f>
        <v>0.43256</v>
      </c>
      <c r="B24">
        <f>'Airfoil Interpolation'!F26</f>
        <v>-4.7219999999999998E-2</v>
      </c>
      <c r="D24">
        <f t="shared" si="7"/>
        <v>1.5</v>
      </c>
      <c r="E24">
        <f t="shared" si="7"/>
        <v>0.125</v>
      </c>
      <c r="F24">
        <f t="shared" si="7"/>
        <v>1.125</v>
      </c>
      <c r="G24">
        <f t="shared" si="7"/>
        <v>3.905899412086856</v>
      </c>
      <c r="J24">
        <f t="shared" si="6"/>
        <v>0</v>
      </c>
      <c r="K24" s="1">
        <f t="shared" si="0"/>
        <v>0.43477120273336262</v>
      </c>
      <c r="L24" s="1">
        <f t="shared" si="1"/>
        <v>-1.7660217263252575E-2</v>
      </c>
      <c r="N24" s="25">
        <f t="shared" si="2"/>
        <v>1179.4727977167927</v>
      </c>
      <c r="O24" s="19">
        <f t="shared" si="3"/>
        <v>-2.2126613643400543</v>
      </c>
      <c r="P24" s="20">
        <f t="shared" si="4"/>
        <v>1500</v>
      </c>
    </row>
    <row r="25" spans="1:16" x14ac:dyDescent="0.25">
      <c r="A25">
        <f>'Airfoil Interpolation'!E27</f>
        <v>0.52019000000000004</v>
      </c>
      <c r="B25">
        <f>'Airfoil Interpolation'!F27</f>
        <v>-4.3020000000000003E-2</v>
      </c>
      <c r="D25">
        <f t="shared" si="7"/>
        <v>1.5</v>
      </c>
      <c r="E25">
        <f t="shared" si="7"/>
        <v>0.125</v>
      </c>
      <c r="F25">
        <f t="shared" si="7"/>
        <v>1.125</v>
      </c>
      <c r="G25">
        <f t="shared" si="7"/>
        <v>3.905899412086856</v>
      </c>
      <c r="J25">
        <f t="shared" si="6"/>
        <v>0</v>
      </c>
      <c r="K25" s="1">
        <f t="shared" si="0"/>
        <v>0.52191191732661979</v>
      </c>
      <c r="L25" s="1">
        <f t="shared" si="1"/>
        <v>-7.5038025328223387E-3</v>
      </c>
      <c r="N25" s="25">
        <f t="shared" si="2"/>
        <v>1190.3907207280056</v>
      </c>
      <c r="O25" s="19">
        <f t="shared" si="3"/>
        <v>-0.94015683400234107</v>
      </c>
      <c r="P25" s="20">
        <f t="shared" si="4"/>
        <v>1500</v>
      </c>
    </row>
    <row r="26" spans="1:16" x14ac:dyDescent="0.25">
      <c r="A26">
        <f>'Airfoil Interpolation'!E28</f>
        <v>0.60809000000000002</v>
      </c>
      <c r="B26">
        <f>'Airfoil Interpolation'!F28</f>
        <v>-3.7470000000000003E-2</v>
      </c>
      <c r="D26">
        <f t="shared" si="7"/>
        <v>1.5</v>
      </c>
      <c r="E26">
        <f t="shared" si="7"/>
        <v>0.125</v>
      </c>
      <c r="F26">
        <f t="shared" si="7"/>
        <v>1.125</v>
      </c>
      <c r="G26">
        <f t="shared" si="7"/>
        <v>3.905899412086856</v>
      </c>
      <c r="J26">
        <f t="shared" si="6"/>
        <v>0</v>
      </c>
      <c r="K26" s="1">
        <f t="shared" si="0"/>
        <v>0.60923009264397121</v>
      </c>
      <c r="L26" s="1">
        <f t="shared" si="1"/>
        <v>4.0178622448168097E-3</v>
      </c>
      <c r="N26" s="25">
        <f t="shared" si="2"/>
        <v>1201.3308779213939</v>
      </c>
      <c r="O26" s="19">
        <f t="shared" si="3"/>
        <v>0.50340085990025951</v>
      </c>
      <c r="P26" s="20">
        <f t="shared" si="4"/>
        <v>1500</v>
      </c>
    </row>
    <row r="27" spans="1:16" x14ac:dyDescent="0.25">
      <c r="A27">
        <f>'Airfoil Interpolation'!E29</f>
        <v>0.69613000000000003</v>
      </c>
      <c r="B27">
        <f>'Airfoil Interpolation'!F29</f>
        <v>-3.0849999999999999E-2</v>
      </c>
      <c r="D27">
        <f t="shared" si="7"/>
        <v>1.5</v>
      </c>
      <c r="E27">
        <f t="shared" si="7"/>
        <v>0.125</v>
      </c>
      <c r="F27">
        <f t="shared" si="7"/>
        <v>1.125</v>
      </c>
      <c r="G27">
        <f t="shared" si="7"/>
        <v>3.905899412086856</v>
      </c>
      <c r="J27">
        <f t="shared" si="6"/>
        <v>0</v>
      </c>
      <c r="K27" s="1">
        <f t="shared" si="0"/>
        <v>0.69661509372454322</v>
      </c>
      <c r="L27" s="1">
        <f t="shared" si="1"/>
        <v>1.6616575915204091E-2</v>
      </c>
      <c r="N27" s="25">
        <f t="shared" si="2"/>
        <v>1212.2794077628771</v>
      </c>
      <c r="O27" s="19">
        <f t="shared" si="3"/>
        <v>2.0819027867624333</v>
      </c>
      <c r="P27" s="20">
        <f t="shared" si="4"/>
        <v>1500</v>
      </c>
    </row>
    <row r="28" spans="1:16" x14ac:dyDescent="0.25">
      <c r="A28">
        <f>'Airfoil Interpolation'!E30</f>
        <v>0.78420000000000001</v>
      </c>
      <c r="B28">
        <f>'Airfoil Interpolation'!F30</f>
        <v>-2.3300000000000001E-2</v>
      </c>
      <c r="D28">
        <f t="shared" si="7"/>
        <v>1.5</v>
      </c>
      <c r="E28">
        <f t="shared" si="7"/>
        <v>0.125</v>
      </c>
      <c r="F28">
        <f t="shared" si="7"/>
        <v>1.125</v>
      </c>
      <c r="G28">
        <f t="shared" si="7"/>
        <v>3.905899412086856</v>
      </c>
      <c r="J28">
        <f t="shared" si="6"/>
        <v>0</v>
      </c>
      <c r="K28" s="1">
        <f t="shared" si="0"/>
        <v>0.78396670750482178</v>
      </c>
      <c r="L28" s="1">
        <f t="shared" si="1"/>
        <v>3.0145174141963341E-2</v>
      </c>
      <c r="N28" s="25">
        <f t="shared" si="2"/>
        <v>1223.2237544854145</v>
      </c>
      <c r="O28" s="19">
        <f t="shared" si="3"/>
        <v>3.7769106206873722</v>
      </c>
      <c r="P28" s="20">
        <f t="shared" si="4"/>
        <v>1500</v>
      </c>
    </row>
    <row r="29" spans="1:16" x14ac:dyDescent="0.25">
      <c r="A29">
        <f>'Airfoil Interpolation'!E31</f>
        <v>0.87217999999999996</v>
      </c>
      <c r="B29">
        <f>'Airfoil Interpolation'!F31</f>
        <v>-1.49E-2</v>
      </c>
      <c r="D29">
        <f t="shared" si="7"/>
        <v>1.5</v>
      </c>
      <c r="E29">
        <f t="shared" si="7"/>
        <v>0.125</v>
      </c>
      <c r="F29">
        <f t="shared" si="7"/>
        <v>1.125</v>
      </c>
      <c r="G29">
        <f t="shared" si="7"/>
        <v>3.905899412086856</v>
      </c>
      <c r="J29">
        <f t="shared" si="6"/>
        <v>0</v>
      </c>
      <c r="K29" s="1">
        <f t="shared" si="0"/>
        <v>0.87117065911285796</v>
      </c>
      <c r="L29" s="1">
        <f t="shared" si="1"/>
        <v>4.4515672530789765E-2</v>
      </c>
      <c r="N29" s="25">
        <f t="shared" si="2"/>
        <v>1234.1496005078402</v>
      </c>
      <c r="O29" s="19">
        <f t="shared" si="3"/>
        <v>5.5774007334240139</v>
      </c>
      <c r="P29" s="20">
        <f t="shared" si="4"/>
        <v>1500</v>
      </c>
    </row>
    <row r="30" spans="1:16" x14ac:dyDescent="0.25">
      <c r="A30">
        <f>'Airfoil Interpolation'!E32</f>
        <v>0.95823000000000003</v>
      </c>
      <c r="B30">
        <f>'Airfoil Interpolation'!F32</f>
        <v>-5.8100000000000001E-3</v>
      </c>
      <c r="D30">
        <f t="shared" si="7"/>
        <v>1.5</v>
      </c>
      <c r="E30">
        <f t="shared" si="7"/>
        <v>0.125</v>
      </c>
      <c r="F30">
        <f t="shared" si="7"/>
        <v>1.125</v>
      </c>
      <c r="G30">
        <f t="shared" si="7"/>
        <v>3.905899412086856</v>
      </c>
      <c r="J30">
        <f t="shared" si="6"/>
        <v>0</v>
      </c>
      <c r="K30" s="1">
        <f t="shared" si="0"/>
        <v>0.95640211140643316</v>
      </c>
      <c r="L30" s="1">
        <f t="shared" si="1"/>
        <v>5.9443168634558036E-2</v>
      </c>
      <c r="N30" s="25">
        <f t="shared" si="2"/>
        <v>1244.8283106678223</v>
      </c>
      <c r="O30" s="19">
        <f t="shared" si="3"/>
        <v>7.4476774917894168</v>
      </c>
      <c r="P30" s="20">
        <f t="shared" si="4"/>
        <v>1500</v>
      </c>
    </row>
    <row r="31" spans="1:16" ht="15.75" thickBot="1" x14ac:dyDescent="0.3">
      <c r="A31">
        <f>'Airfoil Interpolation'!E33</f>
        <v>1</v>
      </c>
      <c r="B31">
        <f>'Airfoil Interpolation'!F33</f>
        <v>-1.0499999999999999E-3</v>
      </c>
      <c r="D31">
        <f t="shared" si="7"/>
        <v>1.5</v>
      </c>
      <c r="E31">
        <f t="shared" si="7"/>
        <v>0.125</v>
      </c>
      <c r="F31">
        <f t="shared" si="7"/>
        <v>1.125</v>
      </c>
      <c r="G31">
        <f t="shared" si="7"/>
        <v>3.905899412086856</v>
      </c>
      <c r="J31">
        <f t="shared" si="6"/>
        <v>0</v>
      </c>
      <c r="K31" s="1">
        <f t="shared" si="0"/>
        <v>0.99775111166479868</v>
      </c>
      <c r="L31" s="1">
        <f t="shared" si="1"/>
        <v>6.7035972967193422E-2</v>
      </c>
      <c r="N31" s="26">
        <f t="shared" si="2"/>
        <v>1250.0089567471969</v>
      </c>
      <c r="O31" s="27">
        <f t="shared" si="3"/>
        <v>8.3989854255130965</v>
      </c>
      <c r="P31" s="28">
        <f t="shared" si="4"/>
        <v>1500</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Q72"/>
  <sheetViews>
    <sheetView topLeftCell="A64" zoomScale="90" zoomScaleNormal="90" workbookViewId="0">
      <selection activeCell="C93" sqref="C93"/>
    </sheetView>
  </sheetViews>
  <sheetFormatPr defaultRowHeight="15" x14ac:dyDescent="0.25"/>
  <cols>
    <col min="2" max="3" width="10.5703125" customWidth="1"/>
    <col min="5" max="5" width="10.28515625" customWidth="1"/>
    <col min="6" max="6" width="10.140625" customWidth="1"/>
    <col min="8" max="8" width="10.42578125" customWidth="1"/>
    <col min="9" max="9" width="11" customWidth="1"/>
    <col min="11" max="11" width="10.85546875" customWidth="1"/>
    <col min="12" max="12" width="11" customWidth="1"/>
    <col min="14" max="14" width="10.28515625" customWidth="1"/>
    <col min="15" max="15" width="10.5703125" customWidth="1"/>
  </cols>
  <sheetData>
    <row r="5" spans="1:17" ht="15.75" thickBot="1" x14ac:dyDescent="0.3"/>
    <row r="6" spans="1:17" ht="15.75" thickBot="1" x14ac:dyDescent="0.3">
      <c r="A6" s="62" t="s">
        <v>55</v>
      </c>
      <c r="B6" s="63"/>
      <c r="C6" s="63"/>
      <c r="D6" s="63"/>
      <c r="E6" s="63"/>
      <c r="F6" s="63"/>
      <c r="G6" s="63"/>
      <c r="H6" s="63"/>
      <c r="I6" s="63"/>
      <c r="J6" s="63"/>
      <c r="K6" s="63"/>
      <c r="L6" s="63"/>
      <c r="M6" s="63"/>
      <c r="N6" s="63"/>
      <c r="O6" s="63"/>
      <c r="P6" s="63"/>
      <c r="Q6" s="64"/>
    </row>
    <row r="7" spans="1:17" x14ac:dyDescent="0.25">
      <c r="A7" s="6"/>
      <c r="B7" s="61" t="s">
        <v>49</v>
      </c>
      <c r="C7" s="61"/>
      <c r="E7" s="61" t="s">
        <v>50</v>
      </c>
      <c r="F7" s="61"/>
      <c r="H7" s="61" t="s">
        <v>18</v>
      </c>
      <c r="I7" s="61"/>
      <c r="K7" s="61" t="s">
        <v>51</v>
      </c>
      <c r="L7" s="61"/>
      <c r="N7" s="61" t="s">
        <v>53</v>
      </c>
      <c r="O7" s="61"/>
      <c r="P7" s="61"/>
    </row>
    <row r="8" spans="1:17" x14ac:dyDescent="0.25">
      <c r="A8" s="6"/>
      <c r="B8" s="6" t="s">
        <v>6</v>
      </c>
      <c r="C8" s="6" t="s">
        <v>7</v>
      </c>
      <c r="E8" s="6" t="s">
        <v>6</v>
      </c>
      <c r="F8" s="6" t="s">
        <v>7</v>
      </c>
      <c r="H8" s="6" t="s">
        <v>6</v>
      </c>
      <c r="I8" s="6" t="s">
        <v>7</v>
      </c>
      <c r="K8" s="6" t="s">
        <v>6</v>
      </c>
      <c r="L8" s="6" t="s">
        <v>7</v>
      </c>
      <c r="N8" s="6" t="s">
        <v>6</v>
      </c>
      <c r="O8" s="6" t="s">
        <v>7</v>
      </c>
    </row>
    <row r="9" spans="1:17" x14ac:dyDescent="0.25">
      <c r="A9" s="6">
        <v>1</v>
      </c>
      <c r="B9" s="34">
        <v>1</v>
      </c>
      <c r="C9" s="34">
        <v>8.4000000000000003E-4</v>
      </c>
      <c r="E9" s="34">
        <v>1</v>
      </c>
      <c r="F9" s="34">
        <v>1.0499999999999999E-3</v>
      </c>
      <c r="H9" s="34">
        <v>1</v>
      </c>
      <c r="I9" s="34">
        <v>1.2600000000000001E-3</v>
      </c>
      <c r="J9" s="34"/>
      <c r="K9" s="34">
        <v>1</v>
      </c>
      <c r="L9" s="34">
        <v>1.57E-3</v>
      </c>
      <c r="N9" s="34">
        <v>1</v>
      </c>
      <c r="O9">
        <v>0</v>
      </c>
    </row>
    <row r="10" spans="1:17" x14ac:dyDescent="0.25">
      <c r="A10" s="6">
        <v>2</v>
      </c>
      <c r="B10" s="34">
        <v>0.95933000000000002</v>
      </c>
      <c r="C10" s="34">
        <v>4.5500000000000002E-3</v>
      </c>
      <c r="E10" s="34">
        <v>0.95823000000000003</v>
      </c>
      <c r="F10" s="34">
        <v>5.8100000000000001E-3</v>
      </c>
      <c r="H10" s="34">
        <v>0.95687999999999995</v>
      </c>
      <c r="I10" s="34">
        <v>7.1500000000000001E-3</v>
      </c>
      <c r="K10" s="34">
        <v>0.95369999999999999</v>
      </c>
      <c r="L10" s="34">
        <v>9.4699999999999993E-3</v>
      </c>
      <c r="N10" s="34">
        <v>0.95743999999999996</v>
      </c>
      <c r="O10">
        <v>3.14E-3</v>
      </c>
    </row>
    <row r="11" spans="1:17" x14ac:dyDescent="0.25">
      <c r="A11" s="6">
        <v>3</v>
      </c>
      <c r="B11" s="34">
        <v>0.87587000000000004</v>
      </c>
      <c r="C11" s="34">
        <v>1.163E-2</v>
      </c>
      <c r="E11" s="34">
        <v>0.87217999999999996</v>
      </c>
      <c r="F11" s="34">
        <v>1.49E-2</v>
      </c>
      <c r="H11" s="34">
        <v>0.86677000000000004</v>
      </c>
      <c r="I11" s="34">
        <v>1.8540000000000001E-2</v>
      </c>
      <c r="K11" s="34">
        <v>0.85653999999999997</v>
      </c>
      <c r="L11" s="34">
        <v>2.469E-2</v>
      </c>
      <c r="N11" s="34">
        <v>0.87344999999999995</v>
      </c>
      <c r="O11">
        <v>9.75E-3</v>
      </c>
    </row>
    <row r="12" spans="1:17" x14ac:dyDescent="0.25">
      <c r="A12" s="6">
        <v>4</v>
      </c>
      <c r="B12" s="34">
        <v>0.79047999999999996</v>
      </c>
      <c r="C12" s="34">
        <v>1.8190000000000001E-2</v>
      </c>
      <c r="E12" s="34">
        <v>0.78420000000000001</v>
      </c>
      <c r="F12" s="34">
        <v>2.3300000000000001E-2</v>
      </c>
      <c r="H12" s="34">
        <v>0.77331000000000005</v>
      </c>
      <c r="I12" s="34">
        <v>2.9139999999999999E-2</v>
      </c>
      <c r="K12" s="34">
        <v>0.75180000000000002</v>
      </c>
      <c r="L12" s="34">
        <v>3.9269999999999999E-2</v>
      </c>
      <c r="N12" s="34">
        <v>0.78820000000000001</v>
      </c>
      <c r="O12">
        <v>1.6910000000000001E-2</v>
      </c>
    </row>
    <row r="13" spans="1:17" x14ac:dyDescent="0.25">
      <c r="A13" s="6">
        <v>5</v>
      </c>
      <c r="B13" s="34">
        <v>0.70501999999999998</v>
      </c>
      <c r="C13" s="34">
        <v>2.41E-2</v>
      </c>
      <c r="E13" s="34">
        <v>0.69613000000000003</v>
      </c>
      <c r="F13" s="34">
        <v>3.0849999999999999E-2</v>
      </c>
      <c r="H13" s="34">
        <v>0.67969999999999997</v>
      </c>
      <c r="I13" s="34">
        <v>3.8580000000000003E-2</v>
      </c>
      <c r="K13" s="34">
        <v>0.64664999999999995</v>
      </c>
      <c r="L13" s="34">
        <v>5.203E-2</v>
      </c>
      <c r="N13" s="34">
        <v>0.70279999999999998</v>
      </c>
      <c r="O13">
        <v>2.4250000000000001E-2</v>
      </c>
    </row>
    <row r="14" spans="1:17" x14ac:dyDescent="0.25">
      <c r="A14" s="6">
        <v>6</v>
      </c>
      <c r="B14" s="34">
        <v>0.61956</v>
      </c>
      <c r="C14" s="34">
        <v>2.9329999999999998E-2</v>
      </c>
      <c r="E14" s="34">
        <v>0.60809000000000002</v>
      </c>
      <c r="F14" s="34">
        <v>3.7470000000000003E-2</v>
      </c>
      <c r="H14" s="34">
        <v>0.58621999999999996</v>
      </c>
      <c r="I14" s="34">
        <v>4.675E-2</v>
      </c>
      <c r="K14" s="34">
        <v>0.54203999999999997</v>
      </c>
      <c r="L14" s="34">
        <v>6.2630000000000005E-2</v>
      </c>
      <c r="N14" s="34">
        <v>0.61702000000000001</v>
      </c>
      <c r="O14">
        <v>3.1890000000000002E-2</v>
      </c>
    </row>
    <row r="15" spans="1:17" x14ac:dyDescent="0.25">
      <c r="A15" s="6">
        <v>7</v>
      </c>
      <c r="B15" s="34">
        <v>0.53415000000000001</v>
      </c>
      <c r="C15" s="34">
        <v>3.3770000000000001E-2</v>
      </c>
      <c r="E15" s="34">
        <v>0.52019000000000004</v>
      </c>
      <c r="F15" s="34">
        <v>4.3020000000000003E-2</v>
      </c>
      <c r="H15" s="34">
        <v>0.49309999999999998</v>
      </c>
      <c r="I15" s="34">
        <v>5.3370000000000001E-2</v>
      </c>
      <c r="K15" s="34">
        <v>0.43870999999999999</v>
      </c>
      <c r="L15" s="34">
        <v>7.0459999999999995E-2</v>
      </c>
      <c r="N15" s="34">
        <v>0.53137000000000001</v>
      </c>
      <c r="O15">
        <v>3.9210000000000002E-2</v>
      </c>
    </row>
    <row r="16" spans="1:17" x14ac:dyDescent="0.25">
      <c r="A16" s="6">
        <v>8</v>
      </c>
      <c r="B16" s="34">
        <v>0.44885000000000003</v>
      </c>
      <c r="C16" s="34">
        <v>3.7240000000000002E-2</v>
      </c>
      <c r="E16" s="34">
        <v>0.43256</v>
      </c>
      <c r="F16" s="34">
        <v>4.7219999999999998E-2</v>
      </c>
      <c r="H16" s="34">
        <v>0.40062999999999999</v>
      </c>
      <c r="I16" s="34">
        <v>5.8009999999999999E-2</v>
      </c>
      <c r="K16" s="34">
        <v>0.33761999999999998</v>
      </c>
      <c r="L16" s="34">
        <v>7.4639999999999998E-2</v>
      </c>
      <c r="N16" s="34">
        <v>0.44635000000000002</v>
      </c>
      <c r="O16">
        <v>4.5109999999999997E-2</v>
      </c>
    </row>
    <row r="17" spans="1:15" x14ac:dyDescent="0.25">
      <c r="A17" s="6">
        <v>9</v>
      </c>
      <c r="B17" s="34">
        <v>0.36374000000000001</v>
      </c>
      <c r="C17" s="34">
        <v>3.9449999999999999E-2</v>
      </c>
      <c r="E17" s="34">
        <v>0.34539999999999998</v>
      </c>
      <c r="F17" s="34">
        <v>4.965E-2</v>
      </c>
      <c r="H17" s="34">
        <v>0.30929000000000001</v>
      </c>
      <c r="I17" s="34">
        <v>0.06</v>
      </c>
      <c r="K17" s="34">
        <v>0.24054</v>
      </c>
      <c r="L17" s="34">
        <v>7.3929999999999996E-2</v>
      </c>
      <c r="N17" s="34">
        <v>0.36137999999999998</v>
      </c>
      <c r="O17">
        <v>4.9000000000000002E-2</v>
      </c>
    </row>
    <row r="18" spans="1:15" x14ac:dyDescent="0.25">
      <c r="A18" s="6">
        <v>10</v>
      </c>
      <c r="B18" s="34">
        <v>0.27895999999999999</v>
      </c>
      <c r="C18" s="34">
        <v>3.9940000000000003E-2</v>
      </c>
      <c r="E18" s="34">
        <v>0.25903999999999999</v>
      </c>
      <c r="F18" s="34">
        <v>4.9680000000000002E-2</v>
      </c>
      <c r="H18" s="34">
        <v>0.21992999999999999</v>
      </c>
      <c r="I18" s="34">
        <v>5.8380000000000001E-2</v>
      </c>
      <c r="K18" s="34">
        <v>0.15226000000000001</v>
      </c>
      <c r="L18" s="34">
        <v>6.7100000000000007E-2</v>
      </c>
      <c r="N18" s="34">
        <v>0.27699000000000001</v>
      </c>
      <c r="O18">
        <v>4.9840000000000002E-2</v>
      </c>
    </row>
    <row r="19" spans="1:15" x14ac:dyDescent="0.25">
      <c r="A19" s="6">
        <v>11</v>
      </c>
      <c r="B19" s="34">
        <v>0.19484000000000001</v>
      </c>
      <c r="C19" s="34">
        <v>3.805E-2</v>
      </c>
      <c r="E19" s="34">
        <v>0.17424999999999999</v>
      </c>
      <c r="F19" s="34">
        <v>4.6359999999999998E-2</v>
      </c>
      <c r="H19" s="34">
        <v>0.13496</v>
      </c>
      <c r="I19" s="34">
        <v>5.1799999999999999E-2</v>
      </c>
      <c r="K19" s="34">
        <v>8.4779999999999994E-2</v>
      </c>
      <c r="L19" s="34">
        <v>5.5050000000000002E-2</v>
      </c>
      <c r="N19" s="34">
        <v>0.19314000000000001</v>
      </c>
      <c r="O19">
        <v>4.7509999999999997E-2</v>
      </c>
    </row>
    <row r="20" spans="1:15" x14ac:dyDescent="0.25">
      <c r="A20" s="6">
        <v>12</v>
      </c>
      <c r="B20" s="34">
        <v>0.1125</v>
      </c>
      <c r="C20" s="34">
        <v>3.2539999999999999E-2</v>
      </c>
      <c r="E20" s="34">
        <v>9.3899999999999997E-2</v>
      </c>
      <c r="F20" s="34">
        <v>3.814E-2</v>
      </c>
      <c r="H20" s="34">
        <v>6.5079999999999999E-2</v>
      </c>
      <c r="I20" s="34">
        <v>3.968E-2</v>
      </c>
      <c r="K20" s="34">
        <v>4.4069999999999998E-2</v>
      </c>
      <c r="L20" s="34">
        <v>4.2090000000000002E-2</v>
      </c>
      <c r="N20" s="34">
        <v>0.11121</v>
      </c>
      <c r="O20">
        <v>3.9800000000000002E-2</v>
      </c>
    </row>
    <row r="21" spans="1:15" x14ac:dyDescent="0.25">
      <c r="A21" s="6">
        <v>13</v>
      </c>
      <c r="B21" s="34">
        <v>4.4119999999999999E-2</v>
      </c>
      <c r="C21" s="34">
        <v>2.2460000000000001E-2</v>
      </c>
      <c r="E21" s="34">
        <v>3.5589999999999997E-2</v>
      </c>
      <c r="F21" s="34">
        <v>2.555E-2</v>
      </c>
      <c r="H21" s="34">
        <v>2.6589999999999999E-2</v>
      </c>
      <c r="I21" s="34">
        <v>2.6890000000000001E-2</v>
      </c>
      <c r="K21" s="34">
        <v>2.0750000000000001E-2</v>
      </c>
      <c r="L21" s="34">
        <v>0.03</v>
      </c>
      <c r="N21" s="34">
        <v>4.3580000000000001E-2</v>
      </c>
      <c r="O21">
        <v>2.588E-2</v>
      </c>
    </row>
    <row r="22" spans="1:15" x14ac:dyDescent="0.25">
      <c r="A22" s="6">
        <v>14</v>
      </c>
      <c r="B22" s="34">
        <v>1.336E-2</v>
      </c>
      <c r="C22" s="34">
        <v>1.303E-2</v>
      </c>
      <c r="E22" s="34">
        <v>1.077E-2</v>
      </c>
      <c r="F22" s="34">
        <v>1.4710000000000001E-2</v>
      </c>
      <c r="H22" s="34">
        <v>8.6800000000000002E-3</v>
      </c>
      <c r="I22" s="34">
        <v>1.593E-2</v>
      </c>
      <c r="K22" s="34">
        <v>7.1500000000000001E-3</v>
      </c>
      <c r="L22" s="34">
        <v>1.814E-2</v>
      </c>
      <c r="N22" s="34">
        <v>1.29E-2</v>
      </c>
      <c r="O22">
        <v>1.393E-2</v>
      </c>
    </row>
    <row r="23" spans="1:15" x14ac:dyDescent="0.25">
      <c r="A23" s="6">
        <v>15</v>
      </c>
      <c r="B23" s="34">
        <v>1.58E-3</v>
      </c>
      <c r="C23" s="34">
        <v>4.6499999999999996E-3</v>
      </c>
      <c r="E23" s="34">
        <v>1.1199999999999999E-3</v>
      </c>
      <c r="F23" s="34">
        <v>4.8999999999999998E-3</v>
      </c>
      <c r="H23" s="34">
        <v>8.8000000000000003E-4</v>
      </c>
      <c r="I23" s="34">
        <v>5.2300000000000003E-3</v>
      </c>
      <c r="K23" s="34">
        <v>7.2999999999999996E-4</v>
      </c>
      <c r="L23" s="34">
        <v>5.94E-3</v>
      </c>
      <c r="N23" s="34">
        <v>1.6299999999999999E-3</v>
      </c>
      <c r="O23">
        <v>4.6499999999999996E-3</v>
      </c>
    </row>
    <row r="24" spans="1:15" x14ac:dyDescent="0.25">
      <c r="A24" s="6">
        <v>16</v>
      </c>
      <c r="B24" s="34">
        <v>1.58E-3</v>
      </c>
      <c r="C24" s="34">
        <v>-4.6499999999999996E-3</v>
      </c>
      <c r="E24" s="34">
        <v>1.1199999999999999E-3</v>
      </c>
      <c r="F24" s="34">
        <v>-4.8999999999999998E-3</v>
      </c>
      <c r="H24" s="34">
        <v>8.8000000000000003E-4</v>
      </c>
      <c r="I24" s="34">
        <v>-5.2300000000000003E-3</v>
      </c>
      <c r="K24" s="34">
        <v>7.2999999999999996E-4</v>
      </c>
      <c r="L24" s="34">
        <v>-5.94E-3</v>
      </c>
      <c r="N24" s="34">
        <v>1.6299999999999999E-3</v>
      </c>
      <c r="O24">
        <v>-4.6499999999999996E-3</v>
      </c>
    </row>
    <row r="25" spans="1:15" x14ac:dyDescent="0.25">
      <c r="A25" s="6">
        <v>17</v>
      </c>
      <c r="B25" s="34">
        <v>1.336E-2</v>
      </c>
      <c r="C25" s="34">
        <v>-1.303E-2</v>
      </c>
      <c r="E25" s="34">
        <v>1.077E-2</v>
      </c>
      <c r="F25" s="34">
        <v>-1.4710000000000001E-2</v>
      </c>
      <c r="H25" s="34">
        <v>8.6800000000000002E-3</v>
      </c>
      <c r="I25" s="34">
        <v>-1.593E-2</v>
      </c>
      <c r="K25" s="34">
        <v>7.1500000000000001E-3</v>
      </c>
      <c r="L25" s="34">
        <v>-1.814E-2</v>
      </c>
      <c r="N25" s="34">
        <v>1.29E-2</v>
      </c>
      <c r="O25">
        <v>-1.393E-2</v>
      </c>
    </row>
    <row r="26" spans="1:15" x14ac:dyDescent="0.25">
      <c r="A26" s="6">
        <v>18</v>
      </c>
      <c r="B26" s="34">
        <v>4.4119999999999999E-2</v>
      </c>
      <c r="C26" s="34">
        <v>-2.2460000000000001E-2</v>
      </c>
      <c r="E26" s="34">
        <v>3.5589999999999997E-2</v>
      </c>
      <c r="F26" s="34">
        <v>-2.555E-2</v>
      </c>
      <c r="H26" s="34">
        <v>2.6589999999999999E-2</v>
      </c>
      <c r="I26" s="34">
        <v>-2.6890000000000001E-2</v>
      </c>
      <c r="K26" s="34">
        <v>2.0750000000000001E-2</v>
      </c>
      <c r="L26" s="34">
        <v>-0.03</v>
      </c>
      <c r="N26" s="34">
        <v>4.3580000000000001E-2</v>
      </c>
      <c r="O26">
        <v>-2.588E-2</v>
      </c>
    </row>
    <row r="27" spans="1:15" x14ac:dyDescent="0.25">
      <c r="A27" s="6">
        <v>19</v>
      </c>
      <c r="B27" s="34">
        <v>0.1125</v>
      </c>
      <c r="C27" s="34">
        <v>-3.2539999999999999E-2</v>
      </c>
      <c r="E27" s="34">
        <v>9.3899999999999997E-2</v>
      </c>
      <c r="F27" s="34">
        <v>-3.814E-2</v>
      </c>
      <c r="H27" s="34">
        <v>6.5079999999999999E-2</v>
      </c>
      <c r="I27" s="34">
        <v>-3.968E-2</v>
      </c>
      <c r="K27" s="34">
        <v>4.4069999999999998E-2</v>
      </c>
      <c r="L27" s="34">
        <v>-4.2090000000000002E-2</v>
      </c>
      <c r="N27" s="34">
        <v>0.11121</v>
      </c>
      <c r="O27">
        <v>-3.9800000000000002E-2</v>
      </c>
    </row>
    <row r="28" spans="1:15" x14ac:dyDescent="0.25">
      <c r="A28" s="6">
        <v>20</v>
      </c>
      <c r="B28" s="34">
        <v>0.19484000000000001</v>
      </c>
      <c r="C28" s="34">
        <v>-3.805E-2</v>
      </c>
      <c r="E28" s="34">
        <v>0.17424999999999999</v>
      </c>
      <c r="F28" s="34">
        <v>-4.6359999999999998E-2</v>
      </c>
      <c r="H28" s="34">
        <v>0.13496</v>
      </c>
      <c r="I28" s="34">
        <v>-5.1799999999999999E-2</v>
      </c>
      <c r="K28" s="34">
        <v>8.4779999999999994E-2</v>
      </c>
      <c r="L28" s="34">
        <v>-5.5050000000000002E-2</v>
      </c>
      <c r="N28" s="34">
        <v>0.19314000000000001</v>
      </c>
      <c r="O28">
        <v>-4.7509999999999997E-2</v>
      </c>
    </row>
    <row r="29" spans="1:15" x14ac:dyDescent="0.25">
      <c r="A29" s="6">
        <v>21</v>
      </c>
      <c r="B29" s="34">
        <v>0.27895999999999999</v>
      </c>
      <c r="C29" s="34">
        <v>-3.9940000000000003E-2</v>
      </c>
      <c r="E29" s="34">
        <v>0.25903999999999999</v>
      </c>
      <c r="F29" s="34">
        <v>-4.9680000000000002E-2</v>
      </c>
      <c r="H29" s="34">
        <v>0.21992999999999999</v>
      </c>
      <c r="I29" s="34">
        <v>-5.8380000000000001E-2</v>
      </c>
      <c r="K29" s="34">
        <v>0.15226000000000001</v>
      </c>
      <c r="L29" s="34">
        <v>-6.7100000000000007E-2</v>
      </c>
      <c r="N29" s="34">
        <v>0.27699000000000001</v>
      </c>
      <c r="O29">
        <v>-4.9840000000000002E-2</v>
      </c>
    </row>
    <row r="30" spans="1:15" x14ac:dyDescent="0.25">
      <c r="A30" s="6">
        <v>22</v>
      </c>
      <c r="B30" s="34">
        <v>0.36374000000000001</v>
      </c>
      <c r="C30" s="34">
        <v>-3.9449999999999999E-2</v>
      </c>
      <c r="E30" s="34">
        <v>0.34539999999999998</v>
      </c>
      <c r="F30" s="34">
        <v>-4.965E-2</v>
      </c>
      <c r="H30" s="34">
        <v>0.30929000000000001</v>
      </c>
      <c r="I30" s="34">
        <v>-0.06</v>
      </c>
      <c r="K30" s="34">
        <v>0.24054</v>
      </c>
      <c r="L30" s="34">
        <v>-7.3929999999999996E-2</v>
      </c>
      <c r="N30" s="34">
        <v>0.36137999999999998</v>
      </c>
      <c r="O30">
        <v>-4.9000000000000002E-2</v>
      </c>
    </row>
    <row r="31" spans="1:15" x14ac:dyDescent="0.25">
      <c r="A31" s="6">
        <v>23</v>
      </c>
      <c r="B31" s="34">
        <v>0.44885000000000003</v>
      </c>
      <c r="C31" s="34">
        <v>-3.7240000000000002E-2</v>
      </c>
      <c r="E31" s="34">
        <v>0.43256</v>
      </c>
      <c r="F31" s="34">
        <v>-4.7219999999999998E-2</v>
      </c>
      <c r="H31" s="34">
        <v>0.40062999999999999</v>
      </c>
      <c r="I31" s="34">
        <v>-5.8009999999999999E-2</v>
      </c>
      <c r="K31" s="34">
        <v>0.33761999999999998</v>
      </c>
      <c r="L31" s="34">
        <v>-7.4639999999999998E-2</v>
      </c>
      <c r="N31" s="34">
        <v>0.44635000000000002</v>
      </c>
      <c r="O31">
        <v>-4.5109999999999997E-2</v>
      </c>
    </row>
    <row r="32" spans="1:15" x14ac:dyDescent="0.25">
      <c r="A32" s="6">
        <v>24</v>
      </c>
      <c r="B32" s="34">
        <v>0.53415000000000001</v>
      </c>
      <c r="C32" s="34">
        <v>-3.3770000000000001E-2</v>
      </c>
      <c r="E32" s="34">
        <v>0.52019000000000004</v>
      </c>
      <c r="F32" s="34">
        <v>-4.3020000000000003E-2</v>
      </c>
      <c r="H32" s="34">
        <v>0.49309999999999998</v>
      </c>
      <c r="I32" s="34">
        <v>-5.3370000000000001E-2</v>
      </c>
      <c r="K32" s="34">
        <v>0.43870999999999999</v>
      </c>
      <c r="L32" s="34">
        <v>-7.0459999999999995E-2</v>
      </c>
      <c r="N32" s="34">
        <v>0.53137000000000001</v>
      </c>
      <c r="O32">
        <v>-3.9210000000000002E-2</v>
      </c>
    </row>
    <row r="33" spans="1:17" x14ac:dyDescent="0.25">
      <c r="A33" s="6">
        <v>25</v>
      </c>
      <c r="B33" s="34">
        <v>0.61956</v>
      </c>
      <c r="C33" s="34">
        <v>-2.9329999999999998E-2</v>
      </c>
      <c r="E33" s="34">
        <v>0.60809000000000002</v>
      </c>
      <c r="F33" s="34">
        <v>-3.7470000000000003E-2</v>
      </c>
      <c r="H33" s="34">
        <v>0.58621999999999996</v>
      </c>
      <c r="I33" s="34">
        <v>-4.675E-2</v>
      </c>
      <c r="K33" s="34">
        <v>0.54203999999999997</v>
      </c>
      <c r="L33" s="34">
        <v>-6.2630000000000005E-2</v>
      </c>
      <c r="N33" s="34">
        <v>0.61702000000000001</v>
      </c>
      <c r="O33">
        <v>-3.1890000000000002E-2</v>
      </c>
    </row>
    <row r="34" spans="1:17" x14ac:dyDescent="0.25">
      <c r="A34" s="6">
        <v>26</v>
      </c>
      <c r="B34" s="34">
        <v>0.70501999999999998</v>
      </c>
      <c r="C34" s="34">
        <v>-2.41E-2</v>
      </c>
      <c r="E34" s="34">
        <v>0.69613000000000003</v>
      </c>
      <c r="F34" s="34">
        <v>-3.0849999999999999E-2</v>
      </c>
      <c r="H34" s="34">
        <v>0.67969999999999997</v>
      </c>
      <c r="I34" s="34">
        <v>-3.8580000000000003E-2</v>
      </c>
      <c r="K34" s="34">
        <v>0.64664999999999995</v>
      </c>
      <c r="L34" s="34">
        <v>-5.203E-2</v>
      </c>
      <c r="N34" s="34">
        <v>0.70279999999999998</v>
      </c>
      <c r="O34">
        <v>-2.4250000000000001E-2</v>
      </c>
    </row>
    <row r="35" spans="1:17" x14ac:dyDescent="0.25">
      <c r="A35" s="6">
        <v>27</v>
      </c>
      <c r="B35" s="34">
        <v>0.79047999999999996</v>
      </c>
      <c r="C35" s="34">
        <v>-1.8190000000000001E-2</v>
      </c>
      <c r="E35" s="34">
        <v>0.78420000000000001</v>
      </c>
      <c r="F35" s="34">
        <v>-2.3300000000000001E-2</v>
      </c>
      <c r="H35" s="34">
        <v>0.77331000000000005</v>
      </c>
      <c r="I35" s="34">
        <v>-2.9139999999999999E-2</v>
      </c>
      <c r="K35" s="34">
        <v>0.75180000000000002</v>
      </c>
      <c r="L35" s="34">
        <v>-3.9269999999999999E-2</v>
      </c>
      <c r="N35" s="34">
        <v>0.78820000000000001</v>
      </c>
      <c r="O35">
        <v>-1.6910000000000001E-2</v>
      </c>
    </row>
    <row r="36" spans="1:17" x14ac:dyDescent="0.25">
      <c r="A36" s="6">
        <v>28</v>
      </c>
      <c r="B36" s="34">
        <v>0.87587000000000004</v>
      </c>
      <c r="C36" s="34">
        <v>-1.163E-2</v>
      </c>
      <c r="E36" s="34">
        <v>0.87217999999999996</v>
      </c>
      <c r="F36" s="34">
        <v>-1.49E-2</v>
      </c>
      <c r="H36" s="34">
        <v>0.86677000000000004</v>
      </c>
      <c r="I36" s="34">
        <v>-1.8540000000000001E-2</v>
      </c>
      <c r="K36" s="34">
        <v>0.85653999999999997</v>
      </c>
      <c r="L36" s="34">
        <v>-2.469E-2</v>
      </c>
      <c r="N36" s="34">
        <v>0.87344999999999995</v>
      </c>
      <c r="O36">
        <v>-9.75E-3</v>
      </c>
    </row>
    <row r="37" spans="1:17" x14ac:dyDescent="0.25">
      <c r="A37" s="6">
        <v>29</v>
      </c>
      <c r="B37" s="34">
        <v>0.95933000000000002</v>
      </c>
      <c r="C37" s="34">
        <v>-4.5500000000000002E-3</v>
      </c>
      <c r="E37" s="34">
        <v>0.95823000000000003</v>
      </c>
      <c r="F37" s="34">
        <v>-5.8100000000000001E-3</v>
      </c>
      <c r="H37" s="34">
        <v>0.95687999999999995</v>
      </c>
      <c r="I37" s="34">
        <v>-7.1500000000000001E-3</v>
      </c>
      <c r="K37" s="34">
        <v>0.95369999999999999</v>
      </c>
      <c r="L37" s="34">
        <v>-9.4699999999999993E-3</v>
      </c>
      <c r="N37" s="34">
        <v>0.95743999999999996</v>
      </c>
      <c r="O37">
        <v>-3.14E-3</v>
      </c>
    </row>
    <row r="38" spans="1:17" x14ac:dyDescent="0.25">
      <c r="A38" s="6">
        <v>30</v>
      </c>
      <c r="B38" s="34">
        <v>1</v>
      </c>
      <c r="C38" s="34">
        <v>-8.4000000000000003E-4</v>
      </c>
      <c r="E38" s="34">
        <v>1</v>
      </c>
      <c r="F38" s="34">
        <v>-1.0499999999999999E-3</v>
      </c>
      <c r="H38" s="34">
        <v>1</v>
      </c>
      <c r="I38" s="34">
        <v>-1.2600000000000001E-3</v>
      </c>
      <c r="K38" s="34">
        <v>1</v>
      </c>
      <c r="L38" s="34">
        <v>-1.57E-3</v>
      </c>
      <c r="N38" s="34">
        <v>1</v>
      </c>
      <c r="O38">
        <v>0</v>
      </c>
    </row>
    <row r="39" spans="1:17" ht="15.75" thickBot="1" x14ac:dyDescent="0.3"/>
    <row r="40" spans="1:17" ht="15.75" thickBot="1" x14ac:dyDescent="0.3">
      <c r="A40" s="62" t="s">
        <v>54</v>
      </c>
      <c r="B40" s="63"/>
      <c r="C40" s="63"/>
      <c r="D40" s="63"/>
      <c r="E40" s="63"/>
      <c r="F40" s="63"/>
      <c r="G40" s="63"/>
      <c r="H40" s="63"/>
      <c r="I40" s="63"/>
      <c r="J40" s="63"/>
      <c r="K40" s="63"/>
      <c r="L40" s="63"/>
      <c r="M40" s="63"/>
      <c r="N40" s="63"/>
      <c r="O40" s="63"/>
      <c r="P40" s="63"/>
      <c r="Q40" s="64"/>
    </row>
    <row r="41" spans="1:17" x14ac:dyDescent="0.25">
      <c r="B41" s="61" t="s">
        <v>52</v>
      </c>
      <c r="C41" s="61"/>
      <c r="E41" s="61" t="s">
        <v>56</v>
      </c>
      <c r="F41" s="61"/>
      <c r="H41" s="61" t="s">
        <v>57</v>
      </c>
      <c r="I41" s="61"/>
    </row>
    <row r="42" spans="1:17" x14ac:dyDescent="0.25">
      <c r="B42" s="6" t="s">
        <v>6</v>
      </c>
      <c r="C42" s="6" t="s">
        <v>7</v>
      </c>
      <c r="E42" s="6" t="s">
        <v>6</v>
      </c>
      <c r="F42" s="6" t="s">
        <v>7</v>
      </c>
      <c r="H42" s="6" t="s">
        <v>6</v>
      </c>
      <c r="I42" s="6" t="s">
        <v>7</v>
      </c>
    </row>
    <row r="43" spans="1:17" x14ac:dyDescent="0.25">
      <c r="A43" s="6">
        <v>1</v>
      </c>
      <c r="B43" s="34">
        <v>1</v>
      </c>
      <c r="C43">
        <v>0</v>
      </c>
      <c r="E43">
        <v>1</v>
      </c>
      <c r="F43">
        <v>1.3999999999999999E-4</v>
      </c>
      <c r="H43" s="34">
        <v>1</v>
      </c>
      <c r="I43" s="34">
        <v>0</v>
      </c>
    </row>
    <row r="44" spans="1:17" x14ac:dyDescent="0.25">
      <c r="A44" s="6">
        <v>2</v>
      </c>
      <c r="B44" s="34">
        <v>0.95511000000000001</v>
      </c>
      <c r="C44">
        <v>4.3600000000000002E-3</v>
      </c>
      <c r="E44">
        <v>0.95121999999999995</v>
      </c>
      <c r="F44">
        <v>5.6100000000000004E-3</v>
      </c>
      <c r="H44" s="34">
        <v>0.94747000000000003</v>
      </c>
      <c r="I44" s="34">
        <v>8.3400000000000002E-3</v>
      </c>
    </row>
    <row r="45" spans="1:17" x14ac:dyDescent="0.25">
      <c r="A45" s="6">
        <v>3</v>
      </c>
      <c r="B45" s="34">
        <v>0.86836999999999998</v>
      </c>
      <c r="C45">
        <v>1.3769999999999999E-2</v>
      </c>
      <c r="E45">
        <v>0.86626999999999998</v>
      </c>
      <c r="F45">
        <v>1.6240000000000001E-2</v>
      </c>
      <c r="H45" s="34">
        <v>0.84287999999999996</v>
      </c>
      <c r="I45" s="34">
        <v>2.724E-2</v>
      </c>
    </row>
    <row r="46" spans="1:17" x14ac:dyDescent="0.25">
      <c r="A46" s="6">
        <v>4</v>
      </c>
      <c r="B46" s="34">
        <v>0.78042999999999996</v>
      </c>
      <c r="C46">
        <v>2.4979999999999999E-2</v>
      </c>
      <c r="E46">
        <v>0.78124000000000005</v>
      </c>
      <c r="F46">
        <v>2.8649999999999998E-2</v>
      </c>
      <c r="H46" s="34">
        <v>0.73197000000000001</v>
      </c>
      <c r="I46" s="34">
        <v>5.1749999999999997E-2</v>
      </c>
    </row>
    <row r="47" spans="1:17" x14ac:dyDescent="0.25">
      <c r="A47" s="6">
        <v>5</v>
      </c>
      <c r="B47" s="34">
        <v>0.69269000000000003</v>
      </c>
      <c r="C47">
        <v>3.773E-2</v>
      </c>
      <c r="E47">
        <v>0.69625999999999999</v>
      </c>
      <c r="F47">
        <v>4.2659999999999997E-2</v>
      </c>
      <c r="H47" s="34">
        <v>0.61924999999999997</v>
      </c>
      <c r="I47" s="34">
        <v>8.1820000000000004E-2</v>
      </c>
    </row>
    <row r="48" spans="1:17" x14ac:dyDescent="0.25">
      <c r="A48" s="6">
        <v>6</v>
      </c>
      <c r="B48" s="34">
        <v>0.60521999999999998</v>
      </c>
      <c r="C48">
        <v>5.2060000000000002E-2</v>
      </c>
      <c r="E48">
        <v>0.61146</v>
      </c>
      <c r="F48">
        <v>5.8369999999999998E-2</v>
      </c>
      <c r="H48" s="34">
        <v>0.50868999999999998</v>
      </c>
      <c r="I48" s="34">
        <v>0.11194</v>
      </c>
    </row>
    <row r="49" spans="1:9" x14ac:dyDescent="0.25">
      <c r="A49" s="6">
        <v>7</v>
      </c>
      <c r="B49" s="34">
        <v>0.51790000000000003</v>
      </c>
      <c r="C49">
        <v>6.6430000000000003E-2</v>
      </c>
      <c r="E49">
        <v>0.52680000000000005</v>
      </c>
      <c r="F49">
        <v>7.4260000000000007E-2</v>
      </c>
      <c r="H49" s="34">
        <v>0.40704000000000001</v>
      </c>
      <c r="I49" s="34">
        <v>0.13314000000000001</v>
      </c>
    </row>
    <row r="50" spans="1:9" x14ac:dyDescent="0.25">
      <c r="A50" s="6">
        <v>8</v>
      </c>
      <c r="B50" s="34">
        <v>0.43185000000000001</v>
      </c>
      <c r="C50">
        <v>7.7759999999999996E-2</v>
      </c>
      <c r="E50">
        <v>0.44248999999999999</v>
      </c>
      <c r="F50">
        <v>8.7239999999999998E-2</v>
      </c>
      <c r="H50" s="34">
        <v>0.31483</v>
      </c>
      <c r="I50" s="34">
        <v>0.1434</v>
      </c>
    </row>
    <row r="51" spans="1:9" x14ac:dyDescent="0.25">
      <c r="A51" s="6">
        <v>9</v>
      </c>
      <c r="B51" s="34">
        <v>0.34666999999999998</v>
      </c>
      <c r="C51">
        <v>8.5029999999999994E-2</v>
      </c>
      <c r="E51">
        <v>0.35810999999999998</v>
      </c>
      <c r="F51">
        <v>9.597E-2</v>
      </c>
      <c r="H51" s="34">
        <v>0.23207</v>
      </c>
      <c r="I51" s="34">
        <v>0.14065</v>
      </c>
    </row>
    <row r="52" spans="1:9" x14ac:dyDescent="0.25">
      <c r="A52" s="6">
        <v>10</v>
      </c>
      <c r="B52" s="34">
        <v>0.26334999999999997</v>
      </c>
      <c r="C52">
        <v>8.5709999999999995E-2</v>
      </c>
      <c r="E52">
        <v>0.27444000000000002</v>
      </c>
      <c r="F52">
        <v>9.7790000000000002E-2</v>
      </c>
      <c r="H52" s="34">
        <v>0.16042999999999999</v>
      </c>
      <c r="I52" s="34">
        <v>0.12622</v>
      </c>
    </row>
    <row r="53" spans="1:9" x14ac:dyDescent="0.25">
      <c r="A53" s="6">
        <v>11</v>
      </c>
      <c r="B53" s="34">
        <v>0.18143999999999999</v>
      </c>
      <c r="C53">
        <v>8.0199999999999994E-2</v>
      </c>
      <c r="E53">
        <v>0.19114999999999999</v>
      </c>
      <c r="F53">
        <v>9.2439999999999994E-2</v>
      </c>
      <c r="H53" s="34">
        <v>0.10162</v>
      </c>
      <c r="I53" s="34">
        <v>0.1007</v>
      </c>
    </row>
    <row r="54" spans="1:9" x14ac:dyDescent="0.25">
      <c r="A54" s="6">
        <v>12</v>
      </c>
      <c r="B54" s="34">
        <v>0.10516</v>
      </c>
      <c r="C54">
        <v>6.4780000000000004E-2</v>
      </c>
      <c r="E54">
        <v>0.11174000000000001</v>
      </c>
      <c r="F54">
        <v>7.5749999999999998E-2</v>
      </c>
      <c r="H54" s="34">
        <v>5.7970000000000001E-2</v>
      </c>
      <c r="I54" s="34">
        <v>7.2739999999999999E-2</v>
      </c>
    </row>
    <row r="55" spans="1:9" x14ac:dyDescent="0.25">
      <c r="A55" s="6">
        <v>13</v>
      </c>
      <c r="B55" s="34">
        <v>4.249E-2</v>
      </c>
      <c r="C55">
        <v>4.199E-2</v>
      </c>
      <c r="E55">
        <v>4.2939999999999999E-2</v>
      </c>
      <c r="F55">
        <v>4.8120000000000003E-2</v>
      </c>
      <c r="H55" s="34">
        <v>3.04E-2</v>
      </c>
      <c r="I55" s="34">
        <v>4.9889999999999997E-2</v>
      </c>
    </row>
    <row r="56" spans="1:9" x14ac:dyDescent="0.25">
      <c r="A56" s="6">
        <v>14</v>
      </c>
      <c r="B56" s="34">
        <v>1.324E-2</v>
      </c>
      <c r="C56">
        <v>2.2159999999999999E-2</v>
      </c>
      <c r="E56">
        <v>1.106E-2</v>
      </c>
      <c r="F56">
        <v>2.2919999999999999E-2</v>
      </c>
      <c r="H56" s="34">
        <v>1.363E-2</v>
      </c>
      <c r="I56" s="34">
        <v>3.1539999999999999E-2</v>
      </c>
    </row>
    <row r="57" spans="1:9" x14ac:dyDescent="0.25">
      <c r="A57" s="6">
        <v>15</v>
      </c>
      <c r="B57" s="34">
        <v>2.0999999999999999E-3</v>
      </c>
      <c r="C57">
        <v>9.0900000000000009E-3</v>
      </c>
      <c r="E57">
        <v>1.2999999999999999E-3</v>
      </c>
      <c r="F57">
        <v>8.5199999999999998E-3</v>
      </c>
      <c r="H57" s="34">
        <v>3.9199999999999999E-3</v>
      </c>
      <c r="I57" s="34">
        <v>1.5779999999999999E-2</v>
      </c>
    </row>
    <row r="58" spans="1:9" x14ac:dyDescent="0.25">
      <c r="A58" s="6">
        <v>16</v>
      </c>
      <c r="B58" s="34">
        <v>2.3000000000000001E-4</v>
      </c>
      <c r="C58">
        <v>-1.08E-3</v>
      </c>
      <c r="E58">
        <v>3.2000000000000003E-4</v>
      </c>
      <c r="F58">
        <v>-1.5399999999999999E-3</v>
      </c>
      <c r="H58" s="34">
        <v>6.0000000000000002E-5</v>
      </c>
      <c r="I58" s="34">
        <v>1.5499999999999999E-3</v>
      </c>
    </row>
    <row r="59" spans="1:9" x14ac:dyDescent="0.25">
      <c r="A59" s="6">
        <v>17</v>
      </c>
      <c r="B59" s="34">
        <v>7.7499999999999999E-3</v>
      </c>
      <c r="C59">
        <v>-1.098E-2</v>
      </c>
      <c r="E59">
        <v>7.6600000000000001E-3</v>
      </c>
      <c r="F59">
        <v>-1.282E-2</v>
      </c>
      <c r="H59" s="34">
        <v>2.64E-3</v>
      </c>
      <c r="I59" s="34">
        <v>-1.193E-2</v>
      </c>
    </row>
    <row r="60" spans="1:9" x14ac:dyDescent="0.25">
      <c r="A60" s="6">
        <v>18</v>
      </c>
      <c r="B60" s="34">
        <v>2.8660000000000001E-2</v>
      </c>
      <c r="C60">
        <v>-2.043E-2</v>
      </c>
      <c r="E60">
        <v>3.3230000000000003E-2</v>
      </c>
      <c r="F60">
        <v>-2.5870000000000001E-2</v>
      </c>
      <c r="H60" s="34">
        <v>1.278E-2</v>
      </c>
      <c r="I60" s="34">
        <v>-2.444E-2</v>
      </c>
    </row>
    <row r="61" spans="1:9" x14ac:dyDescent="0.25">
      <c r="A61" s="6">
        <v>19</v>
      </c>
      <c r="B61" s="34">
        <v>8.1360000000000002E-2</v>
      </c>
      <c r="C61">
        <v>-3.338E-2</v>
      </c>
      <c r="E61">
        <v>9.7040000000000001E-2</v>
      </c>
      <c r="F61">
        <v>-4.2229999999999997E-2</v>
      </c>
      <c r="H61" s="34">
        <v>2.9940000000000001E-2</v>
      </c>
      <c r="I61" s="34">
        <v>-3.5630000000000002E-2</v>
      </c>
    </row>
    <row r="62" spans="1:9" x14ac:dyDescent="0.25">
      <c r="A62" s="6">
        <v>20</v>
      </c>
      <c r="B62" s="34">
        <v>0.16042000000000001</v>
      </c>
      <c r="C62">
        <v>-4.0680000000000001E-2</v>
      </c>
      <c r="E62">
        <v>0.17948</v>
      </c>
      <c r="F62">
        <v>-4.947E-2</v>
      </c>
      <c r="H62" s="34">
        <v>5.5980000000000002E-2</v>
      </c>
      <c r="I62" s="34">
        <v>-4.6330000000000003E-2</v>
      </c>
    </row>
    <row r="63" spans="1:9" x14ac:dyDescent="0.25">
      <c r="A63" s="6">
        <v>21</v>
      </c>
      <c r="B63" s="34">
        <v>0.24722</v>
      </c>
      <c r="C63">
        <v>-4.3200000000000002E-2</v>
      </c>
      <c r="E63">
        <v>0.26478000000000002</v>
      </c>
      <c r="F63">
        <v>-5.1580000000000001E-2</v>
      </c>
      <c r="H63" s="34">
        <v>9.6350000000000005E-2</v>
      </c>
      <c r="I63" s="34">
        <v>-5.6710000000000003E-2</v>
      </c>
    </row>
    <row r="64" spans="1:9" x14ac:dyDescent="0.25">
      <c r="A64" s="6">
        <v>22</v>
      </c>
      <c r="B64" s="34">
        <v>0.33560000000000001</v>
      </c>
      <c r="C64">
        <v>-4.3529999999999999E-2</v>
      </c>
      <c r="E64">
        <v>0.35043999999999997</v>
      </c>
      <c r="F64">
        <v>-5.135E-2</v>
      </c>
      <c r="H64" s="34">
        <v>0.15905</v>
      </c>
      <c r="I64" s="34">
        <v>-6.3640000000000002E-2</v>
      </c>
    </row>
    <row r="65" spans="1:9" x14ac:dyDescent="0.25">
      <c r="A65" s="6">
        <v>23</v>
      </c>
      <c r="B65" s="34">
        <v>0.42398999999999998</v>
      </c>
      <c r="C65">
        <v>-4.1869999999999997E-2</v>
      </c>
      <c r="E65">
        <v>0.43622</v>
      </c>
      <c r="F65">
        <v>-4.8860000000000001E-2</v>
      </c>
      <c r="H65" s="34">
        <v>0.25488</v>
      </c>
      <c r="I65" s="34">
        <v>-6.4479999999999996E-2</v>
      </c>
    </row>
    <row r="66" spans="1:9" x14ac:dyDescent="0.25">
      <c r="A66" s="6">
        <v>24</v>
      </c>
      <c r="B66" s="34">
        <v>0.51266999999999996</v>
      </c>
      <c r="C66">
        <v>-3.8510000000000003E-2</v>
      </c>
      <c r="E66">
        <v>0.52234000000000003</v>
      </c>
      <c r="F66">
        <v>-4.4549999999999999E-2</v>
      </c>
      <c r="H66" s="34">
        <v>0.37086999999999998</v>
      </c>
      <c r="I66" s="34">
        <v>-6.3570000000000002E-2</v>
      </c>
    </row>
    <row r="67" spans="1:9" x14ac:dyDescent="0.25">
      <c r="A67" s="6">
        <v>25</v>
      </c>
      <c r="B67" s="34">
        <v>0.60126999999999997</v>
      </c>
      <c r="C67">
        <v>-3.3829999999999999E-2</v>
      </c>
      <c r="E67">
        <v>0.60845000000000005</v>
      </c>
      <c r="F67">
        <v>-3.884E-2</v>
      </c>
      <c r="H67" s="34">
        <v>0.48907</v>
      </c>
      <c r="I67" s="34">
        <v>-5.9369999999999999E-2</v>
      </c>
    </row>
    <row r="68" spans="1:9" x14ac:dyDescent="0.25">
      <c r="A68" s="6">
        <v>26</v>
      </c>
      <c r="B68" s="34">
        <v>0.68996999999999997</v>
      </c>
      <c r="C68">
        <v>-2.7789999999999999E-2</v>
      </c>
      <c r="E68">
        <v>0.69442000000000004</v>
      </c>
      <c r="F68">
        <v>-3.1780000000000003E-2</v>
      </c>
      <c r="H68" s="34">
        <v>0.60675999999999997</v>
      </c>
      <c r="I68" s="34">
        <v>-5.1790000000000003E-2</v>
      </c>
    </row>
    <row r="69" spans="1:9" x14ac:dyDescent="0.25">
      <c r="A69" s="6">
        <v>27</v>
      </c>
      <c r="B69" s="34">
        <v>0.77881</v>
      </c>
      <c r="C69">
        <v>-2.0799999999999999E-2</v>
      </c>
      <c r="E69">
        <v>0.78025</v>
      </c>
      <c r="F69">
        <v>-2.383E-2</v>
      </c>
      <c r="H69" s="34">
        <v>0.72296000000000005</v>
      </c>
      <c r="I69" s="34">
        <v>-4.0640000000000003E-2</v>
      </c>
    </row>
    <row r="70" spans="1:9" x14ac:dyDescent="0.25">
      <c r="A70" s="6">
        <v>28</v>
      </c>
      <c r="B70" s="34">
        <v>0.86746999999999996</v>
      </c>
      <c r="C70">
        <v>-1.2760000000000001E-2</v>
      </c>
      <c r="E70">
        <v>0.86600999999999995</v>
      </c>
      <c r="F70">
        <v>-1.478E-2</v>
      </c>
      <c r="H70" s="34">
        <v>0.83886000000000005</v>
      </c>
      <c r="I70" s="34">
        <v>-2.521E-2</v>
      </c>
    </row>
    <row r="71" spans="1:9" x14ac:dyDescent="0.25">
      <c r="A71" s="6">
        <v>29</v>
      </c>
      <c r="B71" s="34">
        <v>0.95518999999999998</v>
      </c>
      <c r="C71">
        <v>-4.2500000000000003E-3</v>
      </c>
      <c r="E71">
        <v>0.95123000000000002</v>
      </c>
      <c r="F71">
        <v>-5.2100000000000002E-3</v>
      </c>
      <c r="H71" s="34">
        <v>0.94728999999999997</v>
      </c>
      <c r="I71" s="34">
        <v>-8.4600000000000005E-3</v>
      </c>
    </row>
    <row r="72" spans="1:9" x14ac:dyDescent="0.25">
      <c r="A72" s="6">
        <v>30</v>
      </c>
      <c r="B72" s="34">
        <v>1</v>
      </c>
      <c r="C72">
        <v>0</v>
      </c>
      <c r="E72">
        <v>1</v>
      </c>
      <c r="F72">
        <v>1.3999999999999999E-4</v>
      </c>
      <c r="H72" s="34">
        <v>1</v>
      </c>
      <c r="I72" s="34">
        <v>0</v>
      </c>
    </row>
  </sheetData>
  <mergeCells count="10">
    <mergeCell ref="A6:Q6"/>
    <mergeCell ref="A40:Q40"/>
    <mergeCell ref="H41:I41"/>
    <mergeCell ref="E41:F41"/>
    <mergeCell ref="B7:C7"/>
    <mergeCell ref="E7:F7"/>
    <mergeCell ref="H7:I7"/>
    <mergeCell ref="K7:L7"/>
    <mergeCell ref="B41:C41"/>
    <mergeCell ref="N7:P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75"/>
  <sheetViews>
    <sheetView topLeftCell="A15" zoomScale="70" zoomScaleNormal="70" workbookViewId="0">
      <selection activeCell="V45" sqref="V45"/>
    </sheetView>
  </sheetViews>
  <sheetFormatPr defaultRowHeight="15" x14ac:dyDescent="0.25"/>
  <cols>
    <col min="1" max="1" width="29.7109375" customWidth="1"/>
  </cols>
  <sheetData>
    <row r="1" spans="1:27" x14ac:dyDescent="0.25">
      <c r="A1" t="s">
        <v>60</v>
      </c>
      <c r="B1">
        <f>'Parabell Planform'!B4</f>
        <v>3</v>
      </c>
      <c r="C1">
        <f>B1</f>
        <v>3</v>
      </c>
      <c r="D1">
        <f t="shared" ref="D1:N1" si="0">C1</f>
        <v>3</v>
      </c>
      <c r="E1">
        <f t="shared" si="0"/>
        <v>3</v>
      </c>
      <c r="F1">
        <f t="shared" si="0"/>
        <v>3</v>
      </c>
      <c r="G1">
        <f t="shared" si="0"/>
        <v>3</v>
      </c>
      <c r="H1">
        <f t="shared" si="0"/>
        <v>3</v>
      </c>
      <c r="I1">
        <f t="shared" si="0"/>
        <v>3</v>
      </c>
      <c r="J1">
        <f t="shared" si="0"/>
        <v>3</v>
      </c>
      <c r="K1">
        <f t="shared" si="0"/>
        <v>3</v>
      </c>
      <c r="L1">
        <f t="shared" si="0"/>
        <v>3</v>
      </c>
      <c r="M1">
        <f t="shared" si="0"/>
        <v>3</v>
      </c>
      <c r="N1">
        <f t="shared" si="0"/>
        <v>3</v>
      </c>
    </row>
    <row r="2" spans="1:27" x14ac:dyDescent="0.25">
      <c r="A2" t="s">
        <v>61</v>
      </c>
      <c r="B2">
        <v>0</v>
      </c>
      <c r="C2">
        <f>B2+1/12</f>
        <v>8.3333333333333329E-2</v>
      </c>
      <c r="D2">
        <f t="shared" ref="D2:N2" si="1">C2+1/12</f>
        <v>0.16666666666666666</v>
      </c>
      <c r="E2">
        <f t="shared" si="1"/>
        <v>0.25</v>
      </c>
      <c r="F2">
        <f t="shared" si="1"/>
        <v>0.33333333333333331</v>
      </c>
      <c r="G2">
        <f t="shared" si="1"/>
        <v>0.41666666666666663</v>
      </c>
      <c r="H2">
        <f t="shared" si="1"/>
        <v>0.49999999999999994</v>
      </c>
      <c r="I2">
        <f t="shared" si="1"/>
        <v>0.58333333333333326</v>
      </c>
      <c r="J2">
        <f t="shared" si="1"/>
        <v>0.66666666666666663</v>
      </c>
      <c r="K2">
        <f t="shared" si="1"/>
        <v>0.75</v>
      </c>
      <c r="L2">
        <f t="shared" si="1"/>
        <v>0.83333333333333337</v>
      </c>
      <c r="M2">
        <f t="shared" si="1"/>
        <v>0.91666666666666674</v>
      </c>
      <c r="N2">
        <f t="shared" si="1"/>
        <v>1</v>
      </c>
      <c r="O2">
        <f>-B2</f>
        <v>0</v>
      </c>
      <c r="P2">
        <f t="shared" ref="P2:AA3" si="2">-C2</f>
        <v>-8.3333333333333329E-2</v>
      </c>
      <c r="Q2">
        <f t="shared" si="2"/>
        <v>-0.16666666666666666</v>
      </c>
      <c r="R2">
        <f t="shared" si="2"/>
        <v>-0.25</v>
      </c>
      <c r="S2">
        <f t="shared" si="2"/>
        <v>-0.33333333333333331</v>
      </c>
      <c r="T2">
        <f t="shared" si="2"/>
        <v>-0.41666666666666663</v>
      </c>
      <c r="U2">
        <f t="shared" si="2"/>
        <v>-0.49999999999999994</v>
      </c>
      <c r="V2">
        <f t="shared" si="2"/>
        <v>-0.58333333333333326</v>
      </c>
      <c r="W2">
        <f t="shared" si="2"/>
        <v>-0.66666666666666663</v>
      </c>
      <c r="X2">
        <f t="shared" si="2"/>
        <v>-0.75</v>
      </c>
      <c r="Y2">
        <f t="shared" si="2"/>
        <v>-0.83333333333333337</v>
      </c>
      <c r="Z2">
        <f t="shared" si="2"/>
        <v>-0.91666666666666674</v>
      </c>
      <c r="AA2">
        <f t="shared" si="2"/>
        <v>-1</v>
      </c>
    </row>
    <row r="3" spans="1:27" x14ac:dyDescent="0.25">
      <c r="A3" t="s">
        <v>62</v>
      </c>
      <c r="B3">
        <f>B1*B2/2</f>
        <v>0</v>
      </c>
      <c r="C3">
        <f t="shared" ref="C3:N3" si="3">C1*C2/2</f>
        <v>0.125</v>
      </c>
      <c r="D3">
        <f t="shared" si="3"/>
        <v>0.25</v>
      </c>
      <c r="E3">
        <f t="shared" si="3"/>
        <v>0.375</v>
      </c>
      <c r="F3">
        <f t="shared" si="3"/>
        <v>0.5</v>
      </c>
      <c r="G3">
        <f t="shared" si="3"/>
        <v>0.625</v>
      </c>
      <c r="H3">
        <f t="shared" si="3"/>
        <v>0.74999999999999989</v>
      </c>
      <c r="I3">
        <f t="shared" si="3"/>
        <v>0.87499999999999989</v>
      </c>
      <c r="J3">
        <f t="shared" si="3"/>
        <v>1</v>
      </c>
      <c r="K3">
        <f t="shared" si="3"/>
        <v>1.125</v>
      </c>
      <c r="L3">
        <f t="shared" si="3"/>
        <v>1.25</v>
      </c>
      <c r="M3">
        <f t="shared" si="3"/>
        <v>1.375</v>
      </c>
      <c r="N3">
        <f t="shared" si="3"/>
        <v>1.5</v>
      </c>
      <c r="O3">
        <f>-B3</f>
        <v>0</v>
      </c>
      <c r="P3">
        <f t="shared" si="2"/>
        <v>-0.125</v>
      </c>
      <c r="Q3">
        <f t="shared" si="2"/>
        <v>-0.25</v>
      </c>
      <c r="R3">
        <f t="shared" si="2"/>
        <v>-0.375</v>
      </c>
      <c r="S3">
        <f t="shared" si="2"/>
        <v>-0.5</v>
      </c>
      <c r="T3">
        <f t="shared" si="2"/>
        <v>-0.625</v>
      </c>
      <c r="U3">
        <f t="shared" si="2"/>
        <v>-0.74999999999999989</v>
      </c>
      <c r="V3">
        <f t="shared" si="2"/>
        <v>-0.87499999999999989</v>
      </c>
      <c r="W3">
        <f t="shared" si="2"/>
        <v>-1</v>
      </c>
      <c r="X3">
        <f t="shared" si="2"/>
        <v>-1.125</v>
      </c>
      <c r="Y3">
        <f t="shared" si="2"/>
        <v>-1.25</v>
      </c>
      <c r="Z3">
        <f t="shared" si="2"/>
        <v>-1.375</v>
      </c>
      <c r="AA3">
        <f t="shared" si="2"/>
        <v>-1.5</v>
      </c>
    </row>
    <row r="4" spans="1:27" x14ac:dyDescent="0.25">
      <c r="A4" t="s">
        <v>44</v>
      </c>
      <c r="B4">
        <f>'Parabell Planform'!B5</f>
        <v>0.9</v>
      </c>
      <c r="C4">
        <f>B4</f>
        <v>0.9</v>
      </c>
      <c r="D4">
        <f t="shared" ref="D4:N6" si="4">C4</f>
        <v>0.9</v>
      </c>
      <c r="E4">
        <f t="shared" si="4"/>
        <v>0.9</v>
      </c>
      <c r="F4">
        <f t="shared" si="4"/>
        <v>0.9</v>
      </c>
      <c r="G4">
        <f t="shared" si="4"/>
        <v>0.9</v>
      </c>
      <c r="H4">
        <f t="shared" si="4"/>
        <v>0.9</v>
      </c>
      <c r="I4">
        <f t="shared" si="4"/>
        <v>0.9</v>
      </c>
      <c r="J4">
        <f t="shared" si="4"/>
        <v>0.9</v>
      </c>
      <c r="K4">
        <f t="shared" si="4"/>
        <v>0.9</v>
      </c>
      <c r="L4">
        <f t="shared" si="4"/>
        <v>0.9</v>
      </c>
      <c r="M4">
        <f t="shared" si="4"/>
        <v>0.9</v>
      </c>
      <c r="N4">
        <f t="shared" si="4"/>
        <v>0.9</v>
      </c>
    </row>
    <row r="5" spans="1:27" x14ac:dyDescent="0.25">
      <c r="A5" t="s">
        <v>63</v>
      </c>
      <c r="B5">
        <f>'Parabell Planform'!B7</f>
        <v>0.5</v>
      </c>
      <c r="C5">
        <f>B5</f>
        <v>0.5</v>
      </c>
      <c r="D5">
        <f t="shared" si="4"/>
        <v>0.5</v>
      </c>
      <c r="E5">
        <f t="shared" si="4"/>
        <v>0.5</v>
      </c>
      <c r="F5">
        <f t="shared" si="4"/>
        <v>0.5</v>
      </c>
      <c r="G5">
        <f t="shared" si="4"/>
        <v>0.5</v>
      </c>
      <c r="H5">
        <f t="shared" si="4"/>
        <v>0.5</v>
      </c>
      <c r="I5">
        <f t="shared" si="4"/>
        <v>0.5</v>
      </c>
      <c r="J5">
        <f t="shared" si="4"/>
        <v>0.5</v>
      </c>
      <c r="K5">
        <f t="shared" si="4"/>
        <v>0.5</v>
      </c>
      <c r="L5">
        <f t="shared" si="4"/>
        <v>0.5</v>
      </c>
      <c r="M5">
        <f t="shared" si="4"/>
        <v>0.5</v>
      </c>
      <c r="N5">
        <f t="shared" si="4"/>
        <v>0.5</v>
      </c>
    </row>
    <row r="6" spans="1:27" x14ac:dyDescent="0.25">
      <c r="A6" t="s">
        <v>64</v>
      </c>
      <c r="B6">
        <f>'Parabell Planform'!B8</f>
        <v>0</v>
      </c>
      <c r="C6">
        <f>B6</f>
        <v>0</v>
      </c>
      <c r="D6">
        <f t="shared" si="4"/>
        <v>0</v>
      </c>
      <c r="E6">
        <f t="shared" si="4"/>
        <v>0</v>
      </c>
      <c r="F6">
        <f t="shared" si="4"/>
        <v>0</v>
      </c>
      <c r="G6">
        <f t="shared" si="4"/>
        <v>0</v>
      </c>
      <c r="H6">
        <f t="shared" si="4"/>
        <v>0</v>
      </c>
      <c r="I6">
        <f t="shared" si="4"/>
        <v>0</v>
      </c>
      <c r="J6">
        <f t="shared" si="4"/>
        <v>0</v>
      </c>
      <c r="K6">
        <f t="shared" si="4"/>
        <v>0</v>
      </c>
      <c r="L6">
        <f t="shared" si="4"/>
        <v>0</v>
      </c>
      <c r="M6">
        <f t="shared" si="4"/>
        <v>0</v>
      </c>
      <c r="N6">
        <f t="shared" si="4"/>
        <v>0</v>
      </c>
    </row>
    <row r="7" spans="1:27" x14ac:dyDescent="0.25">
      <c r="A7" t="s">
        <v>65</v>
      </c>
      <c r="B7">
        <f>-(B5*(B3^2)+B6*B3)</f>
        <v>0</v>
      </c>
      <c r="C7">
        <f t="shared" ref="C7:N7" si="5">-(C5*(C3^2)+C6*C3)</f>
        <v>-7.8125E-3</v>
      </c>
      <c r="D7">
        <f t="shared" si="5"/>
        <v>-3.125E-2</v>
      </c>
      <c r="E7">
        <f t="shared" si="5"/>
        <v>-7.03125E-2</v>
      </c>
      <c r="F7">
        <f t="shared" si="5"/>
        <v>-0.125</v>
      </c>
      <c r="G7">
        <f t="shared" si="5"/>
        <v>-0.1953125</v>
      </c>
      <c r="H7">
        <f t="shared" si="5"/>
        <v>-0.28124999999999989</v>
      </c>
      <c r="I7">
        <f t="shared" si="5"/>
        <v>-0.38281249999999989</v>
      </c>
      <c r="J7">
        <f t="shared" si="5"/>
        <v>-0.5</v>
      </c>
      <c r="K7">
        <f t="shared" si="5"/>
        <v>-0.6328125</v>
      </c>
      <c r="L7">
        <f t="shared" si="5"/>
        <v>-0.78125</v>
      </c>
      <c r="M7">
        <f t="shared" si="5"/>
        <v>-0.9453125</v>
      </c>
      <c r="N7">
        <f t="shared" si="5"/>
        <v>-1.125</v>
      </c>
      <c r="O7">
        <f>B7</f>
        <v>0</v>
      </c>
      <c r="P7">
        <f t="shared" ref="P7:AA7" si="6">C7</f>
        <v>-7.8125E-3</v>
      </c>
      <c r="Q7">
        <f t="shared" si="6"/>
        <v>-3.125E-2</v>
      </c>
      <c r="R7">
        <f t="shared" si="6"/>
        <v>-7.03125E-2</v>
      </c>
      <c r="S7">
        <f t="shared" si="6"/>
        <v>-0.125</v>
      </c>
      <c r="T7">
        <f t="shared" si="6"/>
        <v>-0.1953125</v>
      </c>
      <c r="U7">
        <f t="shared" si="6"/>
        <v>-0.28124999999999989</v>
      </c>
      <c r="V7">
        <f t="shared" si="6"/>
        <v>-0.38281249999999989</v>
      </c>
      <c r="W7">
        <f t="shared" si="6"/>
        <v>-0.5</v>
      </c>
      <c r="X7">
        <f t="shared" si="6"/>
        <v>-0.6328125</v>
      </c>
      <c r="Y7">
        <f t="shared" si="6"/>
        <v>-0.78125</v>
      </c>
      <c r="Z7">
        <f t="shared" si="6"/>
        <v>-0.9453125</v>
      </c>
      <c r="AA7">
        <f t="shared" si="6"/>
        <v>-1.125</v>
      </c>
    </row>
    <row r="8" spans="1:27" x14ac:dyDescent="0.25">
      <c r="A8" t="s">
        <v>66</v>
      </c>
      <c r="B8">
        <f>'Parabell Planform'!B9</f>
        <v>0.15</v>
      </c>
      <c r="C8">
        <f>B8</f>
        <v>0.15</v>
      </c>
      <c r="D8">
        <f t="shared" ref="D8:N9" si="7">C8</f>
        <v>0.15</v>
      </c>
      <c r="E8">
        <f t="shared" si="7"/>
        <v>0.15</v>
      </c>
      <c r="F8">
        <f t="shared" si="7"/>
        <v>0.15</v>
      </c>
      <c r="G8">
        <f t="shared" si="7"/>
        <v>0.15</v>
      </c>
      <c r="H8">
        <f t="shared" si="7"/>
        <v>0.15</v>
      </c>
      <c r="I8">
        <f t="shared" si="7"/>
        <v>0.15</v>
      </c>
      <c r="J8">
        <f t="shared" si="7"/>
        <v>0.15</v>
      </c>
      <c r="K8">
        <f t="shared" si="7"/>
        <v>0.15</v>
      </c>
      <c r="L8">
        <f t="shared" si="7"/>
        <v>0.15</v>
      </c>
      <c r="M8">
        <f t="shared" si="7"/>
        <v>0.15</v>
      </c>
      <c r="N8">
        <f t="shared" si="7"/>
        <v>0.15</v>
      </c>
    </row>
    <row r="9" spans="1:27" x14ac:dyDescent="0.25">
      <c r="A9" t="s">
        <v>67</v>
      </c>
      <c r="B9">
        <f>'Parabell Planform'!B10</f>
        <v>8.3333333333333783E-3</v>
      </c>
      <c r="C9">
        <f>B9</f>
        <v>8.3333333333333783E-3</v>
      </c>
      <c r="D9">
        <f t="shared" si="7"/>
        <v>8.3333333333333783E-3</v>
      </c>
      <c r="E9">
        <f t="shared" si="7"/>
        <v>8.3333333333333783E-3</v>
      </c>
      <c r="F9">
        <f t="shared" si="7"/>
        <v>8.3333333333333783E-3</v>
      </c>
      <c r="G9">
        <f t="shared" si="7"/>
        <v>8.3333333333333783E-3</v>
      </c>
      <c r="H9">
        <f t="shared" si="7"/>
        <v>8.3333333333333783E-3</v>
      </c>
      <c r="I9">
        <f t="shared" si="7"/>
        <v>8.3333333333333783E-3</v>
      </c>
      <c r="J9">
        <f t="shared" si="7"/>
        <v>8.3333333333333783E-3</v>
      </c>
      <c r="K9">
        <f t="shared" si="7"/>
        <v>8.3333333333333783E-3</v>
      </c>
      <c r="L9">
        <f t="shared" si="7"/>
        <v>8.3333333333333783E-3</v>
      </c>
      <c r="M9">
        <f t="shared" si="7"/>
        <v>8.3333333333333783E-3</v>
      </c>
      <c r="N9">
        <f t="shared" si="7"/>
        <v>8.3333333333333783E-3</v>
      </c>
    </row>
    <row r="10" spans="1:27" x14ac:dyDescent="0.25">
      <c r="A10" t="s">
        <v>68</v>
      </c>
      <c r="B10">
        <f>-(B8*(B3^2)+B9*B3+B4)</f>
        <v>-0.9</v>
      </c>
      <c r="C10">
        <f t="shared" ref="C10:N10" si="8">-(C8*(C3^2)+C9*C3+C4)</f>
        <v>-0.90338541666666672</v>
      </c>
      <c r="D10">
        <f t="shared" si="8"/>
        <v>-0.91145833333333337</v>
      </c>
      <c r="E10">
        <f t="shared" si="8"/>
        <v>-0.92421875000000009</v>
      </c>
      <c r="F10">
        <f t="shared" si="8"/>
        <v>-0.94166666666666665</v>
      </c>
      <c r="G10">
        <f t="shared" si="8"/>
        <v>-0.96380208333333339</v>
      </c>
      <c r="H10">
        <f t="shared" si="8"/>
        <v>-0.99062499999999998</v>
      </c>
      <c r="I10">
        <f t="shared" si="8"/>
        <v>-1.0221354166666667</v>
      </c>
      <c r="J10">
        <f t="shared" si="8"/>
        <v>-1.0583333333333333</v>
      </c>
      <c r="K10">
        <f t="shared" si="8"/>
        <v>-1.0992187500000001</v>
      </c>
      <c r="L10">
        <f t="shared" si="8"/>
        <v>-1.1447916666666667</v>
      </c>
      <c r="M10">
        <f t="shared" si="8"/>
        <v>-1.1950520833333333</v>
      </c>
      <c r="N10">
        <f t="shared" si="8"/>
        <v>-1.25</v>
      </c>
      <c r="O10">
        <f>B10</f>
        <v>-0.9</v>
      </c>
      <c r="P10">
        <f t="shared" ref="P10:AA10" si="9">C10</f>
        <v>-0.90338541666666672</v>
      </c>
      <c r="Q10">
        <f t="shared" si="9"/>
        <v>-0.91145833333333337</v>
      </c>
      <c r="R10">
        <f t="shared" si="9"/>
        <v>-0.92421875000000009</v>
      </c>
      <c r="S10">
        <f t="shared" si="9"/>
        <v>-0.94166666666666665</v>
      </c>
      <c r="T10">
        <f t="shared" si="9"/>
        <v>-0.96380208333333339</v>
      </c>
      <c r="U10">
        <f t="shared" si="9"/>
        <v>-0.99062499999999998</v>
      </c>
      <c r="V10">
        <f t="shared" si="9"/>
        <v>-1.0221354166666667</v>
      </c>
      <c r="W10">
        <f t="shared" si="9"/>
        <v>-1.0583333333333333</v>
      </c>
      <c r="X10">
        <f t="shared" si="9"/>
        <v>-1.0992187500000001</v>
      </c>
      <c r="Y10">
        <f t="shared" si="9"/>
        <v>-1.1447916666666667</v>
      </c>
      <c r="Z10">
        <f t="shared" si="9"/>
        <v>-1.1950520833333333</v>
      </c>
      <c r="AA10">
        <f t="shared" si="9"/>
        <v>-1.25</v>
      </c>
    </row>
    <row r="11" spans="1:27" x14ac:dyDescent="0.25">
      <c r="A11" t="s">
        <v>69</v>
      </c>
      <c r="B11">
        <f>-B10+B7</f>
        <v>0.9</v>
      </c>
      <c r="C11">
        <f t="shared" ref="C11:N11" si="10">-C10+C7</f>
        <v>0.89557291666666672</v>
      </c>
      <c r="D11">
        <f t="shared" si="10"/>
        <v>0.88020833333333337</v>
      </c>
      <c r="E11">
        <f t="shared" si="10"/>
        <v>0.85390625000000009</v>
      </c>
      <c r="F11">
        <f t="shared" si="10"/>
        <v>0.81666666666666665</v>
      </c>
      <c r="G11">
        <f t="shared" si="10"/>
        <v>0.76848958333333339</v>
      </c>
      <c r="H11">
        <f t="shared" si="10"/>
        <v>0.70937500000000009</v>
      </c>
      <c r="I11">
        <f t="shared" si="10"/>
        <v>0.63932291666666685</v>
      </c>
      <c r="J11">
        <f t="shared" si="10"/>
        <v>0.55833333333333335</v>
      </c>
      <c r="K11">
        <f t="shared" si="10"/>
        <v>0.46640625000000013</v>
      </c>
      <c r="L11">
        <f t="shared" si="10"/>
        <v>0.36354166666666665</v>
      </c>
      <c r="M11">
        <f t="shared" si="10"/>
        <v>0.24973958333333335</v>
      </c>
      <c r="N11">
        <f t="shared" si="10"/>
        <v>0.125</v>
      </c>
    </row>
    <row r="12" spans="1:27" x14ac:dyDescent="0.25">
      <c r="A12" t="s">
        <v>70</v>
      </c>
      <c r="B12">
        <f>(B11+C11)*(C3-B3)/2</f>
        <v>0.11222330729166667</v>
      </c>
      <c r="C12">
        <f t="shared" ref="C12:M12" si="11">(C11+D11)*(D3-C3)/2</f>
        <v>0.11098632812500001</v>
      </c>
      <c r="D12">
        <f t="shared" si="11"/>
        <v>0.10838216145833335</v>
      </c>
      <c r="E12">
        <f t="shared" si="11"/>
        <v>0.10441080729166667</v>
      </c>
      <c r="F12">
        <f t="shared" si="11"/>
        <v>9.9072265625000003E-2</v>
      </c>
      <c r="G12">
        <f t="shared" si="11"/>
        <v>9.2366536458333259E-2</v>
      </c>
      <c r="H12">
        <f t="shared" si="11"/>
        <v>8.4293619791666691E-2</v>
      </c>
      <c r="I12">
        <f t="shared" si="11"/>
        <v>7.4853515625000075E-2</v>
      </c>
      <c r="J12">
        <f t="shared" si="11"/>
        <v>6.4046223958333343E-2</v>
      </c>
      <c r="K12">
        <f t="shared" si="11"/>
        <v>5.1871744791666674E-2</v>
      </c>
      <c r="L12">
        <f t="shared" si="11"/>
        <v>3.8330078125E-2</v>
      </c>
      <c r="M12">
        <f t="shared" si="11"/>
        <v>2.3421223958333334E-2</v>
      </c>
    </row>
    <row r="13" spans="1:27" x14ac:dyDescent="0.25">
      <c r="A13" t="s">
        <v>80</v>
      </c>
      <c r="B13">
        <f>B7-0.25*B11</f>
        <v>-0.22500000000000001</v>
      </c>
      <c r="C13">
        <f t="shared" ref="C13:N13" si="12">C7-0.25*C11</f>
        <v>-0.23170572916666668</v>
      </c>
      <c r="D13">
        <f t="shared" si="12"/>
        <v>-0.25130208333333337</v>
      </c>
      <c r="E13">
        <f t="shared" si="12"/>
        <v>-0.28378906250000002</v>
      </c>
      <c r="F13">
        <f t="shared" si="12"/>
        <v>-0.32916666666666666</v>
      </c>
      <c r="G13">
        <f t="shared" si="12"/>
        <v>-0.38743489583333335</v>
      </c>
      <c r="H13">
        <f t="shared" si="12"/>
        <v>-0.45859374999999991</v>
      </c>
      <c r="I13">
        <f t="shared" si="12"/>
        <v>-0.54264322916666663</v>
      </c>
      <c r="J13">
        <f t="shared" si="12"/>
        <v>-0.63958333333333339</v>
      </c>
      <c r="K13">
        <f t="shared" si="12"/>
        <v>-0.74941406250000009</v>
      </c>
      <c r="L13">
        <f t="shared" si="12"/>
        <v>-0.87213541666666661</v>
      </c>
      <c r="M13">
        <f t="shared" si="12"/>
        <v>-1.0077473958333334</v>
      </c>
      <c r="N13">
        <f t="shared" si="12"/>
        <v>-1.15625</v>
      </c>
      <c r="O13">
        <f>B13</f>
        <v>-0.22500000000000001</v>
      </c>
      <c r="P13">
        <f t="shared" ref="P13:AA13" si="13">C13</f>
        <v>-0.23170572916666668</v>
      </c>
      <c r="Q13">
        <f t="shared" si="13"/>
        <v>-0.25130208333333337</v>
      </c>
      <c r="R13">
        <f t="shared" si="13"/>
        <v>-0.28378906250000002</v>
      </c>
      <c r="S13">
        <f t="shared" si="13"/>
        <v>-0.32916666666666666</v>
      </c>
      <c r="T13">
        <f t="shared" si="13"/>
        <v>-0.38743489583333335</v>
      </c>
      <c r="U13">
        <f t="shared" si="13"/>
        <v>-0.45859374999999991</v>
      </c>
      <c r="V13">
        <f t="shared" si="13"/>
        <v>-0.54264322916666663</v>
      </c>
      <c r="W13">
        <f t="shared" si="13"/>
        <v>-0.63958333333333339</v>
      </c>
      <c r="X13">
        <f t="shared" si="13"/>
        <v>-0.74941406250000009</v>
      </c>
      <c r="Y13">
        <f t="shared" si="13"/>
        <v>-0.87213541666666661</v>
      </c>
      <c r="Z13">
        <f t="shared" si="13"/>
        <v>-1.0077473958333334</v>
      </c>
      <c r="AA13">
        <f t="shared" si="13"/>
        <v>-1.15625</v>
      </c>
    </row>
    <row r="15" spans="1:27" x14ac:dyDescent="0.25">
      <c r="A15" s="6" t="s">
        <v>19</v>
      </c>
    </row>
    <row r="16" spans="1:27" x14ac:dyDescent="0.25">
      <c r="A16" t="s">
        <v>46</v>
      </c>
      <c r="B16">
        <f>'Parabell Planform'!B18</f>
        <v>0</v>
      </c>
    </row>
    <row r="17" spans="1:27" x14ac:dyDescent="0.25">
      <c r="A17" t="s">
        <v>25</v>
      </c>
      <c r="B17">
        <f>1.225*(1-B16/44300)^4.25588</f>
        <v>1.2250000000000001</v>
      </c>
      <c r="C17">
        <f>B17</f>
        <v>1.2250000000000001</v>
      </c>
      <c r="D17">
        <f t="shared" ref="D17:N22" si="14">C17</f>
        <v>1.2250000000000001</v>
      </c>
      <c r="E17">
        <f t="shared" si="14"/>
        <v>1.2250000000000001</v>
      </c>
      <c r="F17">
        <f t="shared" si="14"/>
        <v>1.2250000000000001</v>
      </c>
      <c r="G17">
        <f t="shared" si="14"/>
        <v>1.2250000000000001</v>
      </c>
      <c r="H17">
        <f t="shared" si="14"/>
        <v>1.2250000000000001</v>
      </c>
      <c r="I17">
        <f t="shared" si="14"/>
        <v>1.2250000000000001</v>
      </c>
      <c r="J17">
        <f t="shared" si="14"/>
        <v>1.2250000000000001</v>
      </c>
      <c r="K17">
        <f t="shared" si="14"/>
        <v>1.2250000000000001</v>
      </c>
      <c r="L17">
        <f t="shared" si="14"/>
        <v>1.2250000000000001</v>
      </c>
      <c r="M17">
        <f t="shared" si="14"/>
        <v>1.2250000000000001</v>
      </c>
      <c r="N17">
        <f t="shared" si="14"/>
        <v>1.2250000000000001</v>
      </c>
    </row>
    <row r="18" spans="1:27" x14ac:dyDescent="0.25">
      <c r="A18" t="s">
        <v>26</v>
      </c>
      <c r="B18">
        <f>B48</f>
        <v>11.527360295602012</v>
      </c>
      <c r="C18">
        <f>B18</f>
        <v>11.527360295602012</v>
      </c>
      <c r="D18">
        <f t="shared" si="14"/>
        <v>11.527360295602012</v>
      </c>
      <c r="E18">
        <f t="shared" si="14"/>
        <v>11.527360295602012</v>
      </c>
      <c r="F18">
        <f t="shared" si="14"/>
        <v>11.527360295602012</v>
      </c>
      <c r="G18">
        <f t="shared" si="14"/>
        <v>11.527360295602012</v>
      </c>
      <c r="H18">
        <f t="shared" si="14"/>
        <v>11.527360295602012</v>
      </c>
      <c r="I18">
        <f t="shared" si="14"/>
        <v>11.527360295602012</v>
      </c>
      <c r="J18">
        <f t="shared" si="14"/>
        <v>11.527360295602012</v>
      </c>
      <c r="K18">
        <f t="shared" si="14"/>
        <v>11.527360295602012</v>
      </c>
      <c r="L18">
        <f t="shared" si="14"/>
        <v>11.527360295602012</v>
      </c>
      <c r="M18">
        <f t="shared" si="14"/>
        <v>11.527360295602012</v>
      </c>
      <c r="N18">
        <f t="shared" si="14"/>
        <v>11.527360295602012</v>
      </c>
    </row>
    <row r="19" spans="1:27" x14ac:dyDescent="0.25">
      <c r="A19" t="s">
        <v>27</v>
      </c>
      <c r="B19">
        <f>'Parabell Planform'!B19</f>
        <v>8</v>
      </c>
      <c r="C19">
        <f>B19</f>
        <v>8</v>
      </c>
      <c r="D19">
        <f t="shared" si="14"/>
        <v>8</v>
      </c>
      <c r="E19">
        <f t="shared" si="14"/>
        <v>8</v>
      </c>
      <c r="F19">
        <f t="shared" si="14"/>
        <v>8</v>
      </c>
      <c r="G19">
        <f t="shared" si="14"/>
        <v>8</v>
      </c>
      <c r="H19">
        <f t="shared" si="14"/>
        <v>8</v>
      </c>
      <c r="I19">
        <f t="shared" si="14"/>
        <v>8</v>
      </c>
      <c r="J19">
        <f t="shared" si="14"/>
        <v>8</v>
      </c>
      <c r="K19">
        <f t="shared" si="14"/>
        <v>8</v>
      </c>
      <c r="L19">
        <f t="shared" si="14"/>
        <v>8</v>
      </c>
      <c r="M19">
        <f t="shared" si="14"/>
        <v>8</v>
      </c>
      <c r="N19">
        <f t="shared" si="14"/>
        <v>8</v>
      </c>
    </row>
    <row r="20" spans="1:27" x14ac:dyDescent="0.25">
      <c r="A20" t="s">
        <v>15</v>
      </c>
      <c r="B20">
        <f>B1</f>
        <v>3</v>
      </c>
      <c r="C20">
        <f>B20</f>
        <v>3</v>
      </c>
      <c r="D20">
        <f t="shared" si="14"/>
        <v>3</v>
      </c>
      <c r="E20">
        <f t="shared" si="14"/>
        <v>3</v>
      </c>
      <c r="F20">
        <f t="shared" si="14"/>
        <v>3</v>
      </c>
      <c r="G20">
        <f t="shared" si="14"/>
        <v>3</v>
      </c>
      <c r="H20">
        <f t="shared" si="14"/>
        <v>3</v>
      </c>
      <c r="I20">
        <f t="shared" si="14"/>
        <v>3</v>
      </c>
      <c r="J20">
        <f t="shared" si="14"/>
        <v>3</v>
      </c>
      <c r="K20">
        <f t="shared" si="14"/>
        <v>3</v>
      </c>
      <c r="L20">
        <f t="shared" si="14"/>
        <v>3</v>
      </c>
      <c r="M20">
        <f t="shared" si="14"/>
        <v>3</v>
      </c>
      <c r="N20">
        <f t="shared" si="14"/>
        <v>3</v>
      </c>
    </row>
    <row r="22" spans="1:27" x14ac:dyDescent="0.25">
      <c r="A22" s="10" t="s">
        <v>21</v>
      </c>
      <c r="B22">
        <f>'Parabell Planform'!B24</f>
        <v>1</v>
      </c>
      <c r="C22" s="15">
        <f>B22</f>
        <v>1</v>
      </c>
      <c r="D22" s="15">
        <f t="shared" si="14"/>
        <v>1</v>
      </c>
      <c r="E22" s="15">
        <f t="shared" si="14"/>
        <v>1</v>
      </c>
      <c r="F22" s="15">
        <f t="shared" si="14"/>
        <v>1</v>
      </c>
      <c r="G22" s="15">
        <f t="shared" si="14"/>
        <v>1</v>
      </c>
      <c r="H22" s="15">
        <f t="shared" si="14"/>
        <v>1</v>
      </c>
      <c r="I22" s="15">
        <f t="shared" si="14"/>
        <v>1</v>
      </c>
      <c r="J22" s="15">
        <f t="shared" si="14"/>
        <v>1</v>
      </c>
      <c r="K22" s="15">
        <f t="shared" si="14"/>
        <v>1</v>
      </c>
      <c r="L22" s="15">
        <f t="shared" si="14"/>
        <v>1</v>
      </c>
      <c r="M22" s="15">
        <f t="shared" si="14"/>
        <v>1</v>
      </c>
      <c r="N22">
        <f t="shared" si="14"/>
        <v>1</v>
      </c>
    </row>
    <row r="23" spans="1:27" x14ac:dyDescent="0.25">
      <c r="A23" s="10" t="s">
        <v>32</v>
      </c>
      <c r="B23" s="15">
        <f>0.25*B20*SQRT((1-B22/2)/(1-B22/4))</f>
        <v>0.61237243569579447</v>
      </c>
      <c r="C23" s="15">
        <f t="shared" ref="C23:N23" si="15">0.25*C20*SQRT((1-C22/2)/(1-C22/4))</f>
        <v>0.61237243569579447</v>
      </c>
      <c r="D23" s="15">
        <f t="shared" si="15"/>
        <v>0.61237243569579447</v>
      </c>
      <c r="E23" s="15">
        <f t="shared" si="15"/>
        <v>0.61237243569579447</v>
      </c>
      <c r="F23" s="15">
        <f t="shared" si="15"/>
        <v>0.61237243569579447</v>
      </c>
      <c r="G23" s="15">
        <f t="shared" si="15"/>
        <v>0.61237243569579447</v>
      </c>
      <c r="H23" s="15">
        <f t="shared" si="15"/>
        <v>0.61237243569579447</v>
      </c>
      <c r="I23" s="15">
        <f t="shared" si="15"/>
        <v>0.61237243569579447</v>
      </c>
      <c r="J23" s="15">
        <f t="shared" si="15"/>
        <v>0.61237243569579447</v>
      </c>
      <c r="K23" s="15">
        <f t="shared" si="15"/>
        <v>0.61237243569579447</v>
      </c>
      <c r="L23" s="15">
        <f t="shared" si="15"/>
        <v>0.61237243569579447</v>
      </c>
      <c r="M23" s="15">
        <f t="shared" si="15"/>
        <v>0.61237243569579447</v>
      </c>
      <c r="N23" s="15">
        <f t="shared" si="15"/>
        <v>0.61237243569579447</v>
      </c>
    </row>
    <row r="24" spans="1:27" x14ac:dyDescent="0.25">
      <c r="A24" s="10" t="s">
        <v>33</v>
      </c>
      <c r="B24" s="18">
        <f>B3</f>
        <v>0</v>
      </c>
      <c r="C24" s="18">
        <f t="shared" ref="C24:N24" si="16">C3</f>
        <v>0.125</v>
      </c>
      <c r="D24" s="18">
        <f t="shared" si="16"/>
        <v>0.25</v>
      </c>
      <c r="E24" s="18">
        <f t="shared" si="16"/>
        <v>0.375</v>
      </c>
      <c r="F24" s="18">
        <f t="shared" si="16"/>
        <v>0.5</v>
      </c>
      <c r="G24" s="18">
        <f t="shared" si="16"/>
        <v>0.625</v>
      </c>
      <c r="H24" s="18">
        <f t="shared" si="16"/>
        <v>0.74999999999999989</v>
      </c>
      <c r="I24" s="18">
        <f t="shared" si="16"/>
        <v>0.87499999999999989</v>
      </c>
      <c r="J24" s="18">
        <f t="shared" si="16"/>
        <v>1</v>
      </c>
      <c r="K24" s="18">
        <f t="shared" si="16"/>
        <v>1.125</v>
      </c>
      <c r="L24" s="18">
        <f t="shared" si="16"/>
        <v>1.25</v>
      </c>
      <c r="M24" s="18">
        <f t="shared" si="16"/>
        <v>1.375</v>
      </c>
      <c r="N24" s="18">
        <f t="shared" si="16"/>
        <v>1.5</v>
      </c>
    </row>
    <row r="25" spans="1:27" x14ac:dyDescent="0.25">
      <c r="A25" s="10" t="s">
        <v>28</v>
      </c>
      <c r="B25" s="15">
        <f>B24/(0.5*B20)</f>
        <v>0</v>
      </c>
      <c r="C25" s="15">
        <f t="shared" ref="C25:N25" si="17">C24/(0.5*C20)</f>
        <v>8.3333333333333329E-2</v>
      </c>
      <c r="D25" s="15">
        <f t="shared" si="17"/>
        <v>0.16666666666666666</v>
      </c>
      <c r="E25" s="15">
        <f t="shared" si="17"/>
        <v>0.25</v>
      </c>
      <c r="F25" s="15">
        <f t="shared" si="17"/>
        <v>0.33333333333333331</v>
      </c>
      <c r="G25" s="15">
        <f t="shared" si="17"/>
        <v>0.41666666666666669</v>
      </c>
      <c r="H25" s="15">
        <f t="shared" si="17"/>
        <v>0.49999999999999994</v>
      </c>
      <c r="I25" s="15">
        <f t="shared" si="17"/>
        <v>0.58333333333333326</v>
      </c>
      <c r="J25" s="15">
        <f t="shared" si="17"/>
        <v>0.66666666666666663</v>
      </c>
      <c r="K25" s="15">
        <f t="shared" si="17"/>
        <v>0.75</v>
      </c>
      <c r="L25" s="15">
        <f t="shared" si="17"/>
        <v>0.83333333333333337</v>
      </c>
      <c r="M25" s="15">
        <f t="shared" si="17"/>
        <v>0.91666666666666663</v>
      </c>
      <c r="N25" s="15">
        <f t="shared" si="17"/>
        <v>1</v>
      </c>
    </row>
    <row r="26" spans="1:27" x14ac:dyDescent="0.25">
      <c r="A26" s="33" t="s">
        <v>29</v>
      </c>
      <c r="B26">
        <f>'Parabell Planform'!B20</f>
        <v>0.105</v>
      </c>
      <c r="C26" s="15">
        <f>B26</f>
        <v>0.105</v>
      </c>
      <c r="D26" s="15">
        <f t="shared" ref="D26:N26" si="18">C26</f>
        <v>0.105</v>
      </c>
      <c r="E26" s="15">
        <f t="shared" si="18"/>
        <v>0.105</v>
      </c>
      <c r="F26" s="15">
        <f t="shared" si="18"/>
        <v>0.105</v>
      </c>
      <c r="G26" s="15">
        <f t="shared" si="18"/>
        <v>0.105</v>
      </c>
      <c r="H26" s="15">
        <f t="shared" si="18"/>
        <v>0.105</v>
      </c>
      <c r="I26" s="15">
        <f t="shared" si="18"/>
        <v>0.105</v>
      </c>
      <c r="J26" s="15">
        <f t="shared" si="18"/>
        <v>0.105</v>
      </c>
      <c r="K26" s="15">
        <f t="shared" si="18"/>
        <v>0.105</v>
      </c>
      <c r="L26" s="15">
        <f t="shared" si="18"/>
        <v>0.105</v>
      </c>
      <c r="M26" s="15">
        <f t="shared" si="18"/>
        <v>0.105</v>
      </c>
      <c r="N26" s="15">
        <f t="shared" si="18"/>
        <v>0.105</v>
      </c>
    </row>
    <row r="27" spans="1:27" x14ac:dyDescent="0.25">
      <c r="A27" s="10" t="s">
        <v>30</v>
      </c>
      <c r="B27" s="15">
        <f>B19*9.81*SQRT((1-0.5*B22)/(1-B22/4)^3)/(3.14*B23*B17*B18)</f>
        <v>3.1465951089983171</v>
      </c>
      <c r="C27" s="15">
        <f t="shared" ref="C27:N27" si="19">C19*9.81*SQRT((1-0.5*C22)/(1-C22/4)^3)/(3.14*C23*C17*C18)</f>
        <v>3.1465951089983171</v>
      </c>
      <c r="D27" s="15">
        <f t="shared" si="19"/>
        <v>3.1465951089983171</v>
      </c>
      <c r="E27" s="15">
        <f t="shared" si="19"/>
        <v>3.1465951089983171</v>
      </c>
      <c r="F27" s="15">
        <f t="shared" si="19"/>
        <v>3.1465951089983171</v>
      </c>
      <c r="G27" s="15">
        <f t="shared" si="19"/>
        <v>3.1465951089983171</v>
      </c>
      <c r="H27" s="15">
        <f t="shared" si="19"/>
        <v>3.1465951089983171</v>
      </c>
      <c r="I27" s="15">
        <f t="shared" si="19"/>
        <v>3.1465951089983171</v>
      </c>
      <c r="J27" s="15">
        <f t="shared" si="19"/>
        <v>3.1465951089983171</v>
      </c>
      <c r="K27" s="15">
        <f t="shared" si="19"/>
        <v>3.1465951089983171</v>
      </c>
      <c r="L27" s="15">
        <f t="shared" si="19"/>
        <v>3.1465951089983171</v>
      </c>
      <c r="M27" s="15">
        <f t="shared" si="19"/>
        <v>3.1465951089983171</v>
      </c>
      <c r="N27" s="15">
        <f t="shared" si="19"/>
        <v>3.1465951089983171</v>
      </c>
    </row>
    <row r="28" spans="1:27" x14ac:dyDescent="0.25">
      <c r="A28" s="10" t="s">
        <v>23</v>
      </c>
      <c r="B28" s="15">
        <f>B27*(1-B22*B25^2)*SQRT(1-B25^2)</f>
        <v>3.1465951089983171</v>
      </c>
      <c r="C28" s="15">
        <f t="shared" ref="C28:N28" si="20">C27*(1-C22*C25^2)*SQRT(1-C25^2)</f>
        <v>3.1138750472169159</v>
      </c>
      <c r="D28" s="15">
        <f t="shared" si="20"/>
        <v>3.016401712259619</v>
      </c>
      <c r="E28" s="15">
        <f t="shared" si="20"/>
        <v>2.8562602627519205</v>
      </c>
      <c r="F28" s="15">
        <f t="shared" si="20"/>
        <v>2.6370118390768988</v>
      </c>
      <c r="G28" s="15">
        <f t="shared" si="20"/>
        <v>2.3638372234147149</v>
      </c>
      <c r="H28" s="15">
        <f t="shared" si="20"/>
        <v>2.0437734748623053</v>
      </c>
      <c r="I28" s="15">
        <f t="shared" si="20"/>
        <v>1.6860969122163736</v>
      </c>
      <c r="J28" s="15">
        <f t="shared" si="20"/>
        <v>1.3029630669238144</v>
      </c>
      <c r="K28" s="15">
        <f t="shared" si="20"/>
        <v>0.9105587022680014</v>
      </c>
      <c r="L28" s="15">
        <f t="shared" si="20"/>
        <v>0.53146679991140522</v>
      </c>
      <c r="M28" s="15">
        <f t="shared" si="20"/>
        <v>0.20085788214191119</v>
      </c>
      <c r="N28" s="15">
        <f t="shared" si="20"/>
        <v>0</v>
      </c>
      <c r="O28" s="47">
        <f>B28</f>
        <v>3.1465951089983171</v>
      </c>
      <c r="P28" s="47">
        <f t="shared" ref="P28:AA28" si="21">C28</f>
        <v>3.1138750472169159</v>
      </c>
      <c r="Q28" s="47">
        <f t="shared" si="21"/>
        <v>3.016401712259619</v>
      </c>
      <c r="R28" s="47">
        <f t="shared" si="21"/>
        <v>2.8562602627519205</v>
      </c>
      <c r="S28" s="47">
        <f t="shared" si="21"/>
        <v>2.6370118390768988</v>
      </c>
      <c r="T28" s="47">
        <f t="shared" si="21"/>
        <v>2.3638372234147149</v>
      </c>
      <c r="U28" s="47">
        <f t="shared" si="21"/>
        <v>2.0437734748623053</v>
      </c>
      <c r="V28" s="47">
        <f t="shared" si="21"/>
        <v>1.6860969122163736</v>
      </c>
      <c r="W28" s="47">
        <f t="shared" si="21"/>
        <v>1.3029630669238144</v>
      </c>
      <c r="X28" s="47">
        <f t="shared" si="21"/>
        <v>0.9105587022680014</v>
      </c>
      <c r="Y28" s="47">
        <f t="shared" si="21"/>
        <v>0.53146679991140522</v>
      </c>
      <c r="Z28" s="47">
        <f t="shared" si="21"/>
        <v>0.20085788214191119</v>
      </c>
      <c r="AA28" s="47">
        <f t="shared" si="21"/>
        <v>0</v>
      </c>
    </row>
    <row r="29" spans="1:27" x14ac:dyDescent="0.25">
      <c r="A29" s="10" t="s">
        <v>31</v>
      </c>
      <c r="B29" s="15">
        <f>-B27*(1+0.5*B22-3*B22*B25^2)/(2*B20)</f>
        <v>-0.78664877724957927</v>
      </c>
      <c r="C29" s="15">
        <f t="shared" ref="C29:N29" si="22">-C27*(1+0.5*C22-3*C22*C25^2)/(2*C20)</f>
        <v>-0.77572309978777954</v>
      </c>
      <c r="D29" s="15">
        <f t="shared" si="22"/>
        <v>-0.74294606740238045</v>
      </c>
      <c r="E29" s="15">
        <f t="shared" si="22"/>
        <v>-0.68831768009338179</v>
      </c>
      <c r="F29" s="15">
        <f t="shared" si="22"/>
        <v>-0.61183793786078389</v>
      </c>
      <c r="G29" s="15">
        <f t="shared" si="22"/>
        <v>-0.51350684070458652</v>
      </c>
      <c r="H29" s="15">
        <f t="shared" si="22"/>
        <v>-0.39332438862478974</v>
      </c>
      <c r="I29" s="15">
        <f t="shared" si="22"/>
        <v>-0.25129058162139356</v>
      </c>
      <c r="J29" s="15">
        <f t="shared" si="22"/>
        <v>-8.7405419694397732E-2</v>
      </c>
      <c r="K29" s="15">
        <f t="shared" si="22"/>
        <v>9.8331097156197408E-2</v>
      </c>
      <c r="L29" s="15">
        <f t="shared" si="22"/>
        <v>0.305918968930392</v>
      </c>
      <c r="M29" s="15">
        <f t="shared" si="22"/>
        <v>0.53535819562818576</v>
      </c>
      <c r="N29" s="15">
        <f t="shared" si="22"/>
        <v>0.78664877724957927</v>
      </c>
    </row>
    <row r="30" spans="1:27" x14ac:dyDescent="0.25">
      <c r="A30" s="10" t="s">
        <v>34</v>
      </c>
      <c r="B30" s="15">
        <f>ATAN(-B29/B18)</f>
        <v>6.8136245299737372E-2</v>
      </c>
      <c r="C30" s="15">
        <f t="shared" ref="C30:N30" si="23">ATAN(-C29/C18)</f>
        <v>6.719277432271592E-2</v>
      </c>
      <c r="D30" s="15">
        <f t="shared" si="23"/>
        <v>6.4361649121120232E-2</v>
      </c>
      <c r="E30" s="15">
        <f t="shared" si="23"/>
        <v>5.9640832498173826E-2</v>
      </c>
      <c r="F30" s="15">
        <f t="shared" si="23"/>
        <v>5.3027262173252987E-2</v>
      </c>
      <c r="G30" s="15">
        <f t="shared" si="23"/>
        <v>4.4517353582701813E-2</v>
      </c>
      <c r="H30" s="15">
        <f t="shared" si="23"/>
        <v>3.4107709304379612E-2</v>
      </c>
      <c r="I30" s="15">
        <f t="shared" si="23"/>
        <v>2.1796038347584309E-2</v>
      </c>
      <c r="J30" s="15">
        <f t="shared" si="23"/>
        <v>7.5822861814373709E-3</v>
      </c>
      <c r="K30" s="15">
        <f t="shared" si="23"/>
        <v>-8.5300285339231143E-3</v>
      </c>
      <c r="L30" s="15">
        <f t="shared" si="23"/>
        <v>-2.6532282552702593E-2</v>
      </c>
      <c r="M30" s="15">
        <f t="shared" si="23"/>
        <v>-4.6409045549394776E-2</v>
      </c>
      <c r="N30" s="15">
        <f t="shared" si="23"/>
        <v>-6.8136245299737372E-2</v>
      </c>
    </row>
    <row r="31" spans="1:27" x14ac:dyDescent="0.25">
      <c r="A31" s="10" t="s">
        <v>35</v>
      </c>
      <c r="B31" s="15">
        <f>B30*180/3.14</f>
        <v>3.905899412086856</v>
      </c>
      <c r="C31" s="15">
        <f t="shared" ref="C31:N31" si="24">C30*180/3.14</f>
        <v>3.8518150885633329</v>
      </c>
      <c r="D31" s="15">
        <f t="shared" si="24"/>
        <v>3.6895212871979748</v>
      </c>
      <c r="E31" s="15">
        <f t="shared" si="24"/>
        <v>3.4189012260099645</v>
      </c>
      <c r="F31" s="15">
        <f t="shared" si="24"/>
        <v>3.0397793602501708</v>
      </c>
      <c r="G31" s="15">
        <f t="shared" si="24"/>
        <v>2.5519502053778105</v>
      </c>
      <c r="H31" s="15">
        <f t="shared" si="24"/>
        <v>1.9552190047096591</v>
      </c>
      <c r="I31" s="15">
        <f t="shared" si="24"/>
        <v>1.2494544275685271</v>
      </c>
      <c r="J31" s="15">
        <f t="shared" si="24"/>
        <v>0.43465334798048622</v>
      </c>
      <c r="K31" s="15">
        <f t="shared" si="24"/>
        <v>-0.4889825274223441</v>
      </c>
      <c r="L31" s="15">
        <f t="shared" si="24"/>
        <v>-1.5209588724479193</v>
      </c>
      <c r="M31" s="15">
        <f t="shared" si="24"/>
        <v>-2.6603911461436494</v>
      </c>
      <c r="N31" s="15">
        <f t="shared" si="24"/>
        <v>-3.905899412086856</v>
      </c>
    </row>
    <row r="33" spans="1:27" x14ac:dyDescent="0.25">
      <c r="A33" t="s">
        <v>16</v>
      </c>
      <c r="B33">
        <f>B11</f>
        <v>0.9</v>
      </c>
      <c r="C33">
        <f t="shared" ref="C33:N33" si="25">C11</f>
        <v>0.89557291666666672</v>
      </c>
      <c r="D33">
        <f t="shared" si="25"/>
        <v>0.88020833333333337</v>
      </c>
      <c r="E33">
        <f t="shared" si="25"/>
        <v>0.85390625000000009</v>
      </c>
      <c r="F33">
        <f t="shared" si="25"/>
        <v>0.81666666666666665</v>
      </c>
      <c r="G33">
        <f t="shared" si="25"/>
        <v>0.76848958333333339</v>
      </c>
      <c r="H33">
        <f t="shared" si="25"/>
        <v>0.70937500000000009</v>
      </c>
      <c r="I33">
        <f t="shared" si="25"/>
        <v>0.63932291666666685</v>
      </c>
      <c r="J33">
        <f t="shared" si="25"/>
        <v>0.55833333333333335</v>
      </c>
      <c r="K33">
        <f t="shared" si="25"/>
        <v>0.46640625000000013</v>
      </c>
      <c r="L33">
        <f t="shared" si="25"/>
        <v>0.36354166666666665</v>
      </c>
      <c r="M33">
        <f t="shared" si="25"/>
        <v>0.24973958333333335</v>
      </c>
      <c r="N33">
        <f t="shared" si="25"/>
        <v>0.125</v>
      </c>
    </row>
    <row r="34" spans="1:27" x14ac:dyDescent="0.25">
      <c r="A34" t="s">
        <v>47</v>
      </c>
      <c r="B34">
        <f>2*B28/(B33*B18)</f>
        <v>0.60659451914759799</v>
      </c>
      <c r="C34">
        <f t="shared" ref="C34:N34" si="26">2*C28/(C33*C18)</f>
        <v>0.60325420518659856</v>
      </c>
      <c r="D34">
        <f t="shared" si="26"/>
        <v>0.59457114790241339</v>
      </c>
      <c r="E34">
        <f t="shared" si="26"/>
        <v>0.58034695979050555</v>
      </c>
      <c r="F34">
        <f t="shared" si="26"/>
        <v>0.56023131156879613</v>
      </c>
      <c r="G34">
        <f t="shared" si="26"/>
        <v>0.5336785039538775</v>
      </c>
      <c r="H34">
        <f t="shared" si="26"/>
        <v>0.49986992462421492</v>
      </c>
      <c r="I34">
        <f t="shared" si="26"/>
        <v>0.45757510610011615</v>
      </c>
      <c r="J34">
        <f t="shared" si="26"/>
        <v>0.40489151629636627</v>
      </c>
      <c r="K34">
        <f t="shared" si="26"/>
        <v>0.33872224251966226</v>
      </c>
      <c r="L34">
        <f t="shared" si="26"/>
        <v>0.25364252858320918</v>
      </c>
      <c r="M34">
        <f t="shared" si="26"/>
        <v>0.13954093365239997</v>
      </c>
      <c r="N34">
        <f t="shared" si="26"/>
        <v>0</v>
      </c>
      <c r="O34">
        <f>B34</f>
        <v>0.60659451914759799</v>
      </c>
      <c r="P34">
        <f t="shared" ref="P34:AA34" si="27">C34</f>
        <v>0.60325420518659856</v>
      </c>
      <c r="Q34">
        <f t="shared" si="27"/>
        <v>0.59457114790241339</v>
      </c>
      <c r="R34">
        <f t="shared" si="27"/>
        <v>0.58034695979050555</v>
      </c>
      <c r="S34">
        <f t="shared" si="27"/>
        <v>0.56023131156879613</v>
      </c>
      <c r="T34">
        <f t="shared" si="27"/>
        <v>0.5336785039538775</v>
      </c>
      <c r="U34">
        <f t="shared" si="27"/>
        <v>0.49986992462421492</v>
      </c>
      <c r="V34">
        <f t="shared" si="27"/>
        <v>0.45757510610011615</v>
      </c>
      <c r="W34">
        <f t="shared" si="27"/>
        <v>0.40489151629636627</v>
      </c>
      <c r="X34">
        <f t="shared" si="27"/>
        <v>0.33872224251966226</v>
      </c>
      <c r="Y34">
        <f t="shared" si="27"/>
        <v>0.25364252858320918</v>
      </c>
      <c r="Z34">
        <f t="shared" si="27"/>
        <v>0.13954093365239997</v>
      </c>
      <c r="AA34">
        <f t="shared" si="27"/>
        <v>0</v>
      </c>
    </row>
    <row r="35" spans="1:27" x14ac:dyDescent="0.25">
      <c r="A35" t="s">
        <v>43</v>
      </c>
      <c r="B35">
        <f>B34/B26+B31</f>
        <v>9.6829900706354088</v>
      </c>
      <c r="C35">
        <f t="shared" ref="C35:N35" si="28">C34/C26+C31</f>
        <v>9.5970932331976044</v>
      </c>
      <c r="D35">
        <f t="shared" si="28"/>
        <v>9.3521036481733404</v>
      </c>
      <c r="E35">
        <f t="shared" si="28"/>
        <v>8.9460151287766845</v>
      </c>
      <c r="F35">
        <f t="shared" si="28"/>
        <v>8.3753156609053718</v>
      </c>
      <c r="G35">
        <f t="shared" si="28"/>
        <v>7.6346026239861677</v>
      </c>
      <c r="H35">
        <f t="shared" si="28"/>
        <v>6.715884953511706</v>
      </c>
      <c r="I35">
        <f t="shared" si="28"/>
        <v>5.6073125809029669</v>
      </c>
      <c r="J35">
        <f t="shared" si="28"/>
        <v>4.2907630269934982</v>
      </c>
      <c r="K35">
        <f t="shared" si="28"/>
        <v>2.7369435918125347</v>
      </c>
      <c r="L35">
        <f t="shared" si="28"/>
        <v>0.89468425691597786</v>
      </c>
      <c r="M35">
        <f t="shared" si="28"/>
        <v>-1.3314298732636496</v>
      </c>
      <c r="N35">
        <f t="shared" si="28"/>
        <v>-3.905899412086856</v>
      </c>
    </row>
    <row r="36" spans="1:27" ht="15.75" thickBot="1" x14ac:dyDescent="0.3">
      <c r="A36" t="s">
        <v>59</v>
      </c>
      <c r="B36">
        <f>'Parabell Planform'!B21</f>
        <v>-1.2</v>
      </c>
      <c r="C36">
        <f>B36-($B$36-$N$36)*(D2-C2)</f>
        <v>-1.0999999999999999</v>
      </c>
      <c r="D36">
        <f t="shared" ref="D36:M36" si="29">C36-($B$36-$N$36)*(E2-D2)</f>
        <v>-0.99999999999999989</v>
      </c>
      <c r="E36">
        <f t="shared" si="29"/>
        <v>-0.89999999999999991</v>
      </c>
      <c r="F36">
        <f t="shared" si="29"/>
        <v>-0.79999999999999993</v>
      </c>
      <c r="G36">
        <f t="shared" si="29"/>
        <v>-0.7</v>
      </c>
      <c r="H36">
        <f t="shared" si="29"/>
        <v>-0.6</v>
      </c>
      <c r="I36">
        <f t="shared" si="29"/>
        <v>-0.49999999999999994</v>
      </c>
      <c r="J36">
        <f t="shared" si="29"/>
        <v>-0.39999999999999991</v>
      </c>
      <c r="K36">
        <f t="shared" si="29"/>
        <v>-0.29999999999999988</v>
      </c>
      <c r="L36">
        <f t="shared" si="29"/>
        <v>-0.19999999999999984</v>
      </c>
      <c r="M36">
        <f t="shared" si="29"/>
        <v>-9.9999999999999936E-2</v>
      </c>
      <c r="N36">
        <f>'Parabell Planform'!B22</f>
        <v>0</v>
      </c>
    </row>
    <row r="37" spans="1:27" ht="15.75" thickBot="1" x14ac:dyDescent="0.3">
      <c r="A37" s="6" t="s">
        <v>36</v>
      </c>
      <c r="B37" s="43">
        <f t="shared" ref="B37:N37" si="30">B35+B36</f>
        <v>8.4829900706354096</v>
      </c>
      <c r="C37" s="44">
        <f t="shared" si="30"/>
        <v>8.4970932331976048</v>
      </c>
      <c r="D37" s="44">
        <f t="shared" si="30"/>
        <v>8.3521036481733404</v>
      </c>
      <c r="E37" s="44">
        <f t="shared" si="30"/>
        <v>8.0460151287766841</v>
      </c>
      <c r="F37" s="44">
        <f t="shared" si="30"/>
        <v>7.575315660905372</v>
      </c>
      <c r="G37" s="44">
        <f t="shared" si="30"/>
        <v>6.9346026239861676</v>
      </c>
      <c r="H37" s="44">
        <f t="shared" si="30"/>
        <v>6.1158849535117064</v>
      </c>
      <c r="I37" s="44">
        <f t="shared" si="30"/>
        <v>5.1073125809029669</v>
      </c>
      <c r="J37" s="44">
        <f t="shared" si="30"/>
        <v>3.8907630269934983</v>
      </c>
      <c r="K37" s="44">
        <f t="shared" si="30"/>
        <v>2.4369435918125348</v>
      </c>
      <c r="L37" s="44">
        <f t="shared" si="30"/>
        <v>0.69468425691597802</v>
      </c>
      <c r="M37" s="44">
        <f t="shared" si="30"/>
        <v>-1.4314298732636495</v>
      </c>
      <c r="N37" s="45">
        <f t="shared" si="30"/>
        <v>-3.905899412086856</v>
      </c>
      <c r="O37" s="43">
        <f>B37</f>
        <v>8.4829900706354096</v>
      </c>
      <c r="P37" s="44">
        <f t="shared" ref="P37:AA38" si="31">C37</f>
        <v>8.4970932331976048</v>
      </c>
      <c r="Q37" s="44">
        <f t="shared" si="31"/>
        <v>8.3521036481733404</v>
      </c>
      <c r="R37" s="44">
        <f t="shared" si="31"/>
        <v>8.0460151287766841</v>
      </c>
      <c r="S37" s="44">
        <f t="shared" si="31"/>
        <v>7.575315660905372</v>
      </c>
      <c r="T37" s="44">
        <f t="shared" si="31"/>
        <v>6.9346026239861676</v>
      </c>
      <c r="U37" s="44">
        <f t="shared" si="31"/>
        <v>6.1158849535117064</v>
      </c>
      <c r="V37" s="44">
        <f t="shared" si="31"/>
        <v>5.1073125809029669</v>
      </c>
      <c r="W37" s="44">
        <f t="shared" si="31"/>
        <v>3.8907630269934983</v>
      </c>
      <c r="X37" s="44">
        <f t="shared" si="31"/>
        <v>2.4369435918125348</v>
      </c>
      <c r="Y37" s="44">
        <f t="shared" si="31"/>
        <v>0.69468425691597802</v>
      </c>
      <c r="Z37" s="44">
        <f t="shared" si="31"/>
        <v>-1.4314298732636495</v>
      </c>
      <c r="AA37" s="45">
        <f t="shared" si="31"/>
        <v>-3.905899412086856</v>
      </c>
    </row>
    <row r="38" spans="1:27" x14ac:dyDescent="0.25">
      <c r="A38" t="s">
        <v>87</v>
      </c>
      <c r="B38">
        <f>B17*B11*$B$48/0.0000185</f>
        <v>686968.36356222804</v>
      </c>
      <c r="C38">
        <f t="shared" ref="C38:N38" si="32">C17*C11*$B$48/0.0000185</f>
        <v>683589.17890350183</v>
      </c>
      <c r="D38">
        <f t="shared" si="32"/>
        <v>671861.4203820402</v>
      </c>
      <c r="E38">
        <f t="shared" si="32"/>
        <v>651785.08799784316</v>
      </c>
      <c r="F38">
        <f t="shared" si="32"/>
        <v>623360.18175091071</v>
      </c>
      <c r="G38">
        <f t="shared" si="32"/>
        <v>586586.70164124283</v>
      </c>
      <c r="H38">
        <f t="shared" si="32"/>
        <v>541464.64766883955</v>
      </c>
      <c r="I38">
        <f t="shared" si="32"/>
        <v>487994.01983370091</v>
      </c>
      <c r="J38">
        <f t="shared" si="32"/>
        <v>426174.81813582673</v>
      </c>
      <c r="K38">
        <f t="shared" si="32"/>
        <v>356007.0425752172</v>
      </c>
      <c r="L38">
        <f t="shared" si="32"/>
        <v>277490.69315187226</v>
      </c>
      <c r="M38">
        <f t="shared" si="32"/>
        <v>190625.7698657919</v>
      </c>
      <c r="N38">
        <f t="shared" si="32"/>
        <v>95412.27271697612</v>
      </c>
      <c r="O38">
        <f>B38</f>
        <v>686968.36356222804</v>
      </c>
      <c r="P38">
        <f t="shared" si="31"/>
        <v>683589.17890350183</v>
      </c>
      <c r="Q38">
        <f t="shared" si="31"/>
        <v>671861.4203820402</v>
      </c>
      <c r="R38">
        <f t="shared" si="31"/>
        <v>651785.08799784316</v>
      </c>
      <c r="S38">
        <f t="shared" si="31"/>
        <v>623360.18175091071</v>
      </c>
      <c r="T38">
        <f t="shared" si="31"/>
        <v>586586.70164124283</v>
      </c>
      <c r="U38">
        <f t="shared" si="31"/>
        <v>541464.64766883955</v>
      </c>
      <c r="V38">
        <f t="shared" si="31"/>
        <v>487994.01983370091</v>
      </c>
      <c r="W38">
        <f t="shared" si="31"/>
        <v>426174.81813582673</v>
      </c>
      <c r="X38">
        <f t="shared" si="31"/>
        <v>356007.0425752172</v>
      </c>
      <c r="Y38">
        <f t="shared" si="31"/>
        <v>277490.69315187226</v>
      </c>
      <c r="Z38">
        <f t="shared" si="31"/>
        <v>190625.7698657919</v>
      </c>
      <c r="AA38">
        <f t="shared" si="31"/>
        <v>95412.27271697612</v>
      </c>
    </row>
    <row r="39" spans="1:27" x14ac:dyDescent="0.25">
      <c r="A39" t="s">
        <v>109</v>
      </c>
      <c r="B39">
        <f>ATAN((-C7+B7)/(C3-B3))*180/3.14</f>
        <v>3.5781483437173005</v>
      </c>
      <c r="C39">
        <f t="shared" ref="C39:M39" si="33">ATAN((-D7+C7)/(D3-C3))*180/3.14</f>
        <v>10.625041719498425</v>
      </c>
      <c r="D39">
        <f t="shared" si="33"/>
        <v>17.362826849520655</v>
      </c>
      <c r="E39">
        <f t="shared" si="33"/>
        <v>23.641362894117744</v>
      </c>
      <c r="F39">
        <f t="shared" si="33"/>
        <v>29.372644221634644</v>
      </c>
      <c r="G39">
        <f t="shared" si="33"/>
        <v>34.526026211558445</v>
      </c>
      <c r="H39">
        <f t="shared" si="33"/>
        <v>39.11368785906199</v>
      </c>
      <c r="I39">
        <f t="shared" si="33"/>
        <v>43.174277252609869</v>
      </c>
      <c r="J39">
        <f t="shared" si="33"/>
        <v>46.759409616853567</v>
      </c>
      <c r="K39">
        <f t="shared" si="33"/>
        <v>49.924401997967365</v>
      </c>
      <c r="L39">
        <f t="shared" si="33"/>
        <v>52.722779924546188</v>
      </c>
      <c r="M39">
        <f t="shared" si="33"/>
        <v>55.203496663238376</v>
      </c>
    </row>
    <row r="40" spans="1:27" x14ac:dyDescent="0.25">
      <c r="A40" t="s">
        <v>105</v>
      </c>
      <c r="B40">
        <f>ATAN((-C13+B13)/(C3-B3))*180/3.14</f>
        <v>3.0722938855336333</v>
      </c>
      <c r="C40">
        <f t="shared" ref="C40:M40" si="34">ATAN((-D13+C13)/(D3-C3))*180/3.14</f>
        <v>8.9143063688510829</v>
      </c>
      <c r="D40">
        <f t="shared" si="34"/>
        <v>14.576015075320264</v>
      </c>
      <c r="E40">
        <f t="shared" si="34"/>
        <v>19.962071804626689</v>
      </c>
      <c r="F40">
        <f t="shared" si="34"/>
        <v>25.005060163607197</v>
      </c>
      <c r="G40">
        <f t="shared" si="34"/>
        <v>29.666636931678287</v>
      </c>
      <c r="H40">
        <f t="shared" si="34"/>
        <v>33.933924962551991</v>
      </c>
      <c r="I40">
        <f t="shared" si="34"/>
        <v>37.813493121629307</v>
      </c>
      <c r="J40">
        <f t="shared" si="34"/>
        <v>41.324971492131091</v>
      </c>
      <c r="K40">
        <f t="shared" si="34"/>
        <v>44.495541383276027</v>
      </c>
      <c r="L40">
        <f t="shared" si="34"/>
        <v>47.355772406324988</v>
      </c>
      <c r="M40">
        <f t="shared" si="34"/>
        <v>49.936786683663343</v>
      </c>
    </row>
    <row r="41" spans="1:27" x14ac:dyDescent="0.25">
      <c r="A41" t="s">
        <v>113</v>
      </c>
      <c r="B41">
        <f>B40*B12</f>
        <v>0.34478298080654951</v>
      </c>
      <c r="C41">
        <f t="shared" ref="C41:M41" si="35">C40*C12</f>
        <v>0.98936613166008358</v>
      </c>
      <c r="D41">
        <f t="shared" si="35"/>
        <v>1.5797800193124618</v>
      </c>
      <c r="E41">
        <f t="shared" si="35"/>
        <v>2.0842560323352899</v>
      </c>
      <c r="F41">
        <f t="shared" si="35"/>
        <v>2.4773079624979983</v>
      </c>
      <c r="G41">
        <f t="shared" si="35"/>
        <v>2.7402045017459984</v>
      </c>
      <c r="H41">
        <f t="shared" si="35"/>
        <v>2.860413368832305</v>
      </c>
      <c r="I41">
        <f t="shared" si="35"/>
        <v>2.8304728982157124</v>
      </c>
      <c r="J41">
        <f t="shared" si="35"/>
        <v>2.6467083792567685</v>
      </c>
      <c r="K41">
        <f t="shared" si="35"/>
        <v>2.3080613670003371</v>
      </c>
      <c r="L41">
        <f t="shared" si="35"/>
        <v>1.815150456004156</v>
      </c>
      <c r="M41">
        <f t="shared" si="35"/>
        <v>1.1695806646775968</v>
      </c>
    </row>
    <row r="42" spans="1:27" x14ac:dyDescent="0.25">
      <c r="A42" t="s">
        <v>106</v>
      </c>
      <c r="B42">
        <f>2*SUM(B41:M41)/B47</f>
        <v>24.729988653677875</v>
      </c>
    </row>
    <row r="46" spans="1:27" x14ac:dyDescent="0.25">
      <c r="A46" s="10" t="s">
        <v>48</v>
      </c>
      <c r="B46">
        <f>'Parabell Planform'!B25</f>
        <v>0.5</v>
      </c>
    </row>
    <row r="47" spans="1:27" x14ac:dyDescent="0.25">
      <c r="A47" s="10" t="s">
        <v>24</v>
      </c>
      <c r="B47" s="15">
        <f>2*SUM(B12:N12)</f>
        <v>1.9285156250000004</v>
      </c>
      <c r="C47" s="15"/>
    </row>
    <row r="48" spans="1:27" x14ac:dyDescent="0.25">
      <c r="A48" t="s">
        <v>20</v>
      </c>
      <c r="B48">
        <f>(2*B19*9.81/(B17*B46*B47))^0.5</f>
        <v>11.527360295602012</v>
      </c>
    </row>
    <row r="51" spans="1:15" x14ac:dyDescent="0.25">
      <c r="A51" s="6" t="s">
        <v>78</v>
      </c>
      <c r="B51" s="6">
        <v>0</v>
      </c>
      <c r="C51" s="6">
        <f>B51+1</f>
        <v>1</v>
      </c>
      <c r="D51" s="6">
        <f t="shared" ref="D51:N51" si="36">C51+1</f>
        <v>2</v>
      </c>
      <c r="E51" s="6">
        <f t="shared" si="36"/>
        <v>3</v>
      </c>
      <c r="F51" s="6">
        <f t="shared" si="36"/>
        <v>4</v>
      </c>
      <c r="G51" s="6">
        <f t="shared" si="36"/>
        <v>5</v>
      </c>
      <c r="H51" s="6">
        <f t="shared" si="36"/>
        <v>6</v>
      </c>
      <c r="I51" s="6">
        <f t="shared" si="36"/>
        <v>7</v>
      </c>
      <c r="J51" s="6">
        <f t="shared" si="36"/>
        <v>8</v>
      </c>
      <c r="K51" s="6">
        <f t="shared" si="36"/>
        <v>9</v>
      </c>
      <c r="L51" s="6">
        <f t="shared" si="36"/>
        <v>10</v>
      </c>
      <c r="M51" s="6">
        <f t="shared" si="36"/>
        <v>11</v>
      </c>
      <c r="N51" s="6">
        <f t="shared" si="36"/>
        <v>12</v>
      </c>
      <c r="O51" t="s">
        <v>79</v>
      </c>
    </row>
    <row r="52" spans="1:15" x14ac:dyDescent="0.25">
      <c r="B52">
        <f>B7</f>
        <v>0</v>
      </c>
      <c r="C52">
        <f t="shared" ref="C52:N52" si="37">C7</f>
        <v>-7.8125E-3</v>
      </c>
      <c r="D52">
        <f t="shared" si="37"/>
        <v>-3.125E-2</v>
      </c>
      <c r="E52">
        <f t="shared" si="37"/>
        <v>-7.03125E-2</v>
      </c>
      <c r="F52">
        <f t="shared" si="37"/>
        <v>-0.125</v>
      </c>
      <c r="G52">
        <f t="shared" si="37"/>
        <v>-0.1953125</v>
      </c>
      <c r="H52">
        <f t="shared" si="37"/>
        <v>-0.28124999999999989</v>
      </c>
      <c r="I52">
        <f t="shared" si="37"/>
        <v>-0.38281249999999989</v>
      </c>
      <c r="J52">
        <f t="shared" si="37"/>
        <v>-0.5</v>
      </c>
      <c r="K52">
        <f t="shared" si="37"/>
        <v>-0.6328125</v>
      </c>
      <c r="L52">
        <f t="shared" si="37"/>
        <v>-0.78125</v>
      </c>
      <c r="M52">
        <f t="shared" si="37"/>
        <v>-0.9453125</v>
      </c>
      <c r="N52">
        <f t="shared" si="37"/>
        <v>-1.125</v>
      </c>
      <c r="O52">
        <f>N52</f>
        <v>-1.125</v>
      </c>
    </row>
    <row r="53" spans="1:15" x14ac:dyDescent="0.25">
      <c r="B53">
        <f>B10</f>
        <v>-0.9</v>
      </c>
      <c r="C53">
        <f t="shared" ref="C53:N53" si="38">C10</f>
        <v>-0.90338541666666672</v>
      </c>
      <c r="D53">
        <f t="shared" si="38"/>
        <v>-0.91145833333333337</v>
      </c>
      <c r="E53">
        <f t="shared" si="38"/>
        <v>-0.92421875000000009</v>
      </c>
      <c r="F53">
        <f t="shared" si="38"/>
        <v>-0.94166666666666665</v>
      </c>
      <c r="G53">
        <f t="shared" si="38"/>
        <v>-0.96380208333333339</v>
      </c>
      <c r="H53">
        <f t="shared" si="38"/>
        <v>-0.99062499999999998</v>
      </c>
      <c r="I53">
        <f t="shared" si="38"/>
        <v>-1.0221354166666667</v>
      </c>
      <c r="J53">
        <f t="shared" si="38"/>
        <v>-1.0583333333333333</v>
      </c>
      <c r="K53">
        <f t="shared" si="38"/>
        <v>-1.0992187500000001</v>
      </c>
      <c r="L53">
        <f t="shared" si="38"/>
        <v>-1.1447916666666667</v>
      </c>
      <c r="M53">
        <f t="shared" si="38"/>
        <v>-1.1950520833333333</v>
      </c>
      <c r="N53">
        <f t="shared" si="38"/>
        <v>-1.25</v>
      </c>
      <c r="O53">
        <f>N53</f>
        <v>-1.25</v>
      </c>
    </row>
    <row r="54" spans="1:15" x14ac:dyDescent="0.25">
      <c r="B54">
        <f>B3</f>
        <v>0</v>
      </c>
      <c r="C54">
        <f t="shared" ref="C54:N54" si="39">C3</f>
        <v>0.125</v>
      </c>
      <c r="D54">
        <f t="shared" si="39"/>
        <v>0.25</v>
      </c>
      <c r="E54">
        <f t="shared" si="39"/>
        <v>0.375</v>
      </c>
      <c r="F54">
        <f t="shared" si="39"/>
        <v>0.5</v>
      </c>
      <c r="G54">
        <f t="shared" si="39"/>
        <v>0.625</v>
      </c>
      <c r="H54">
        <f t="shared" si="39"/>
        <v>0.74999999999999989</v>
      </c>
      <c r="I54">
        <f t="shared" si="39"/>
        <v>0.87499999999999989</v>
      </c>
      <c r="J54">
        <f t="shared" si="39"/>
        <v>1</v>
      </c>
      <c r="K54">
        <f t="shared" si="39"/>
        <v>1.125</v>
      </c>
      <c r="L54">
        <f t="shared" si="39"/>
        <v>1.25</v>
      </c>
      <c r="M54">
        <f t="shared" si="39"/>
        <v>1.375</v>
      </c>
      <c r="N54">
        <f t="shared" si="39"/>
        <v>1.5</v>
      </c>
      <c r="O54">
        <f>-N54</f>
        <v>-1.5</v>
      </c>
    </row>
    <row r="55" spans="1:15" x14ac:dyDescent="0.25">
      <c r="B55">
        <f>B54</f>
        <v>0</v>
      </c>
      <c r="C55">
        <f t="shared" ref="C55:N55" si="40">C54</f>
        <v>0.125</v>
      </c>
      <c r="D55">
        <f t="shared" si="40"/>
        <v>0.25</v>
      </c>
      <c r="E55">
        <f t="shared" si="40"/>
        <v>0.375</v>
      </c>
      <c r="F55">
        <f t="shared" si="40"/>
        <v>0.5</v>
      </c>
      <c r="G55">
        <f t="shared" si="40"/>
        <v>0.625</v>
      </c>
      <c r="H55">
        <f t="shared" si="40"/>
        <v>0.74999999999999989</v>
      </c>
      <c r="I55">
        <f t="shared" si="40"/>
        <v>0.87499999999999989</v>
      </c>
      <c r="J55">
        <f t="shared" si="40"/>
        <v>1</v>
      </c>
      <c r="K55">
        <f t="shared" si="40"/>
        <v>1.125</v>
      </c>
      <c r="L55">
        <f t="shared" si="40"/>
        <v>1.25</v>
      </c>
      <c r="M55">
        <f t="shared" si="40"/>
        <v>1.375</v>
      </c>
      <c r="N55">
        <f t="shared" si="40"/>
        <v>1.5</v>
      </c>
      <c r="O55">
        <f>O54</f>
        <v>-1.5</v>
      </c>
    </row>
    <row r="57" spans="1:15" x14ac:dyDescent="0.25">
      <c r="A57" s="6" t="s">
        <v>91</v>
      </c>
    </row>
    <row r="58" spans="1:15" x14ac:dyDescent="0.25">
      <c r="A58" t="s">
        <v>92</v>
      </c>
      <c r="B58">
        <f>C11/B11</f>
        <v>0.9950810185185186</v>
      </c>
      <c r="C58">
        <f t="shared" ref="C58:N58" si="41">D11/C11</f>
        <v>0.98284384995638263</v>
      </c>
      <c r="D58">
        <f t="shared" si="41"/>
        <v>0.97011834319526635</v>
      </c>
      <c r="E58">
        <f t="shared" si="41"/>
        <v>0.95638914303141187</v>
      </c>
      <c r="F58">
        <f t="shared" si="41"/>
        <v>0.94100765306122458</v>
      </c>
      <c r="G58">
        <f t="shared" si="41"/>
        <v>0.92307692307692313</v>
      </c>
      <c r="H58">
        <f t="shared" si="41"/>
        <v>0.90124816446402367</v>
      </c>
      <c r="I58">
        <f t="shared" si="41"/>
        <v>0.87331975560081443</v>
      </c>
      <c r="J58">
        <f t="shared" si="41"/>
        <v>0.83535447761194048</v>
      </c>
      <c r="K58">
        <f t="shared" si="41"/>
        <v>0.7794528196538244</v>
      </c>
      <c r="L58">
        <f t="shared" si="41"/>
        <v>0.68696275071633239</v>
      </c>
      <c r="M58">
        <f t="shared" si="41"/>
        <v>0.50052137643378514</v>
      </c>
      <c r="N58">
        <f t="shared" si="41"/>
        <v>0</v>
      </c>
    </row>
    <row r="59" spans="1:15" x14ac:dyDescent="0.25">
      <c r="B59">
        <f>(2*B11/3)*(1+B58+B58*B58)/(1+B58)</f>
        <v>0.89778827753605683</v>
      </c>
      <c r="C59">
        <f t="shared" ref="C59:N59" si="42">(2*C11/3)*(1+C58+C58*C58)/(1+C58)</f>
        <v>0.88791278148474051</v>
      </c>
      <c r="D59">
        <f t="shared" si="42"/>
        <v>0.86712378088968978</v>
      </c>
      <c r="E59">
        <f t="shared" si="42"/>
        <v>0.83542481272191904</v>
      </c>
      <c r="F59">
        <f t="shared" si="42"/>
        <v>0.79282216312542209</v>
      </c>
      <c r="G59">
        <f t="shared" si="42"/>
        <v>0.73932638888888902</v>
      </c>
      <c r="H59">
        <f t="shared" si="42"/>
        <v>0.67495538204501093</v>
      </c>
      <c r="I59">
        <f t="shared" si="42"/>
        <v>0.59974092344954222</v>
      </c>
      <c r="J59">
        <f t="shared" si="42"/>
        <v>0.51374422031625022</v>
      </c>
      <c r="K59">
        <f t="shared" si="42"/>
        <v>0.41709881506467256</v>
      </c>
      <c r="L59">
        <f t="shared" si="42"/>
        <v>0.31016019403161127</v>
      </c>
      <c r="M59">
        <f t="shared" si="42"/>
        <v>0.19429013686201838</v>
      </c>
      <c r="N59">
        <f t="shared" si="42"/>
        <v>8.3333333333333329E-2</v>
      </c>
    </row>
    <row r="60" spans="1:15" x14ac:dyDescent="0.25">
      <c r="A60" s="6" t="s">
        <v>89</v>
      </c>
      <c r="B60" s="48">
        <f>2*(B59*B12+C59*C12+D59*D12+E59*E12+F59*F12+G59*G12+H59*H12+I59*I12+J59*J12+K59*K12+L59*L12+M59*M12)/B47</f>
        <v>0.72605886250084406</v>
      </c>
    </row>
    <row r="61" spans="1:15" x14ac:dyDescent="0.25">
      <c r="A61" t="s">
        <v>94</v>
      </c>
      <c r="D61" t="s">
        <v>100</v>
      </c>
    </row>
    <row r="62" spans="1:15" x14ac:dyDescent="0.25">
      <c r="A62" t="s">
        <v>95</v>
      </c>
      <c r="B62">
        <f>B8-B5+0.0000000000000001</f>
        <v>-0.34999999999999987</v>
      </c>
      <c r="D62">
        <f>-B66</f>
        <v>-0.71696958298508384</v>
      </c>
      <c r="E62">
        <f>D62</f>
        <v>-0.71696958298508384</v>
      </c>
    </row>
    <row r="63" spans="1:15" x14ac:dyDescent="0.25">
      <c r="A63" t="s">
        <v>96</v>
      </c>
      <c r="B63">
        <f>B9-B6</f>
        <v>8.3333333333333783E-3</v>
      </c>
      <c r="D63">
        <f>-(B5*(D62^2)-B6*D62)</f>
        <v>-0.25702269146290252</v>
      </c>
      <c r="E63">
        <f>D63-B60</f>
        <v>-0.98308155396374652</v>
      </c>
      <c r="I63">
        <v>-0.35</v>
      </c>
      <c r="K63">
        <f>B63^2-4*I63*(B4-B60)</f>
        <v>0.24358703694326278</v>
      </c>
    </row>
    <row r="64" spans="1:15" x14ac:dyDescent="0.25">
      <c r="A64" t="s">
        <v>97</v>
      </c>
      <c r="B64">
        <f>(-B63+SQRT(B63^2-4*B62*(B4-B60)))/(2*B62)</f>
        <v>-0.6931600591755599</v>
      </c>
    </row>
    <row r="65" spans="1:3" x14ac:dyDescent="0.25">
      <c r="A65" t="s">
        <v>98</v>
      </c>
      <c r="B65">
        <f>(-B63-SQRT(B63^2-4*B62*(B4-B60)))/(2*B62)</f>
        <v>0.71696958298508384</v>
      </c>
    </row>
    <row r="66" spans="1:3" x14ac:dyDescent="0.25">
      <c r="A66" s="6" t="s">
        <v>99</v>
      </c>
      <c r="B66" s="48">
        <f>IF(B64&gt;0,(IF(B64&lt;(0.5*B1),B64,B65)),B65)</f>
        <v>0.71696958298508384</v>
      </c>
    </row>
    <row r="68" spans="1:3" x14ac:dyDescent="0.25">
      <c r="A68" t="s">
        <v>104</v>
      </c>
      <c r="B68">
        <f>D63-0.25*B60</f>
        <v>-0.43853740708811351</v>
      </c>
      <c r="C68">
        <f>B68</f>
        <v>-0.43853740708811351</v>
      </c>
    </row>
    <row r="69" spans="1:3" x14ac:dyDescent="0.25">
      <c r="B69">
        <f>-(B66-0.5*C24)</f>
        <v>-0.65446958298508384</v>
      </c>
      <c r="C69">
        <f>-(B66+0.5*C24)</f>
        <v>-0.77946958298508384</v>
      </c>
    </row>
    <row r="71" spans="1:3" x14ac:dyDescent="0.25">
      <c r="B71">
        <f>0.5*C3</f>
        <v>6.25E-2</v>
      </c>
      <c r="C71">
        <f>-B71</f>
        <v>-6.25E-2</v>
      </c>
    </row>
    <row r="72" spans="1:3" x14ac:dyDescent="0.25">
      <c r="A72" t="s">
        <v>13</v>
      </c>
      <c r="B72">
        <f>'Parabell Planform'!B30</f>
        <v>-0.35</v>
      </c>
      <c r="C72">
        <f>B72</f>
        <v>-0.35</v>
      </c>
    </row>
    <row r="73" spans="1:3" x14ac:dyDescent="0.25">
      <c r="A73" t="s">
        <v>101</v>
      </c>
      <c r="B73">
        <f>-(B72-D63)*100/B60</f>
        <v>12.805753546874358</v>
      </c>
    </row>
    <row r="75" spans="1:3" x14ac:dyDescent="0.25">
      <c r="A75" t="s">
        <v>103</v>
      </c>
      <c r="B75">
        <f>'Parabell Planform'!B32</f>
        <v>-0.44625368439633478</v>
      </c>
      <c r="C75">
        <f>B75</f>
        <v>-0.44625368439633478</v>
      </c>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0"/>
  <sheetViews>
    <sheetView tabSelected="1" zoomScale="90" zoomScaleNormal="90" workbookViewId="0">
      <selection activeCell="S2" sqref="S2"/>
    </sheetView>
  </sheetViews>
  <sheetFormatPr defaultRowHeight="15" x14ac:dyDescent="0.25"/>
  <cols>
    <col min="1" max="1" width="27.85546875" customWidth="1"/>
    <col min="5" max="5" width="8.28515625" customWidth="1"/>
  </cols>
  <sheetData>
    <row r="1" spans="1:2" x14ac:dyDescent="0.25">
      <c r="A1" s="54" t="s">
        <v>124</v>
      </c>
    </row>
    <row r="2" spans="1:2" ht="15.75" thickBot="1" x14ac:dyDescent="0.3">
      <c r="A2" s="54"/>
    </row>
    <row r="3" spans="1:2" ht="15.75" thickBot="1" x14ac:dyDescent="0.3">
      <c r="A3" s="55" t="s">
        <v>88</v>
      </c>
      <c r="B3" s="56"/>
    </row>
    <row r="4" spans="1:2" x14ac:dyDescent="0.25">
      <c r="A4" s="10" t="s">
        <v>15</v>
      </c>
      <c r="B4" s="52">
        <v>3</v>
      </c>
    </row>
    <row r="5" spans="1:2" x14ac:dyDescent="0.25">
      <c r="A5" s="10" t="s">
        <v>73</v>
      </c>
      <c r="B5" s="52">
        <v>0.9</v>
      </c>
    </row>
    <row r="6" spans="1:2" x14ac:dyDescent="0.25">
      <c r="A6" s="10" t="s">
        <v>14</v>
      </c>
      <c r="B6" s="52">
        <v>0.125</v>
      </c>
    </row>
    <row r="7" spans="1:2" x14ac:dyDescent="0.25">
      <c r="A7" s="10" t="s">
        <v>102</v>
      </c>
      <c r="B7" s="52">
        <v>0.5</v>
      </c>
    </row>
    <row r="8" spans="1:2" x14ac:dyDescent="0.25">
      <c r="A8" s="10" t="s">
        <v>83</v>
      </c>
      <c r="B8" s="52">
        <v>0</v>
      </c>
    </row>
    <row r="9" spans="1:2" x14ac:dyDescent="0.25">
      <c r="A9" s="10" t="s">
        <v>84</v>
      </c>
      <c r="B9" s="52">
        <v>0.15</v>
      </c>
    </row>
    <row r="10" spans="1:2" x14ac:dyDescent="0.25">
      <c r="A10" s="10" t="s">
        <v>85</v>
      </c>
      <c r="B10" s="11">
        <f>(-'Calculations (ignore)'!N7+B6-B9*(0.5*B4)^2-B5)/(0.5*B4)</f>
        <v>8.3333333333333783E-3</v>
      </c>
    </row>
    <row r="11" spans="1:2" x14ac:dyDescent="0.25">
      <c r="A11" s="10" t="s">
        <v>77</v>
      </c>
      <c r="B11" s="11">
        <f>'Calculations (ignore)'!B47</f>
        <v>1.9285156250000004</v>
      </c>
    </row>
    <row r="12" spans="1:2" x14ac:dyDescent="0.25">
      <c r="A12" s="10" t="s">
        <v>107</v>
      </c>
      <c r="B12" s="11">
        <f>'Calculations (ignore)'!B42</f>
        <v>24.729988653677875</v>
      </c>
    </row>
    <row r="13" spans="1:2" x14ac:dyDescent="0.25">
      <c r="A13" s="10" t="s">
        <v>11</v>
      </c>
      <c r="B13" s="11">
        <f>B6/B5</f>
        <v>0.1388888888888889</v>
      </c>
    </row>
    <row r="14" spans="1:2" x14ac:dyDescent="0.25">
      <c r="A14" s="10" t="s">
        <v>117</v>
      </c>
      <c r="B14" s="11">
        <f>B4*B4/B11</f>
        <v>4.6668017014381196</v>
      </c>
    </row>
    <row r="15" spans="1:2" x14ac:dyDescent="0.25">
      <c r="A15" s="10" t="s">
        <v>89</v>
      </c>
      <c r="B15" s="11">
        <f>'Calculations (ignore)'!B60</f>
        <v>0.72605886250084406</v>
      </c>
    </row>
    <row r="16" spans="1:2" ht="15.75" thickBot="1" x14ac:dyDescent="0.3">
      <c r="A16" s="12" t="s">
        <v>93</v>
      </c>
      <c r="B16" s="13">
        <f>'Calculations (ignore)'!B66</f>
        <v>0.71696958298508384</v>
      </c>
    </row>
    <row r="18" spans="1:2" x14ac:dyDescent="0.25">
      <c r="A18" t="s">
        <v>82</v>
      </c>
      <c r="B18" s="3">
        <v>0</v>
      </c>
    </row>
    <row r="19" spans="1:2" x14ac:dyDescent="0.25">
      <c r="A19" t="s">
        <v>71</v>
      </c>
      <c r="B19" s="3">
        <v>8</v>
      </c>
    </row>
    <row r="20" spans="1:2" x14ac:dyDescent="0.25">
      <c r="A20" t="s">
        <v>76</v>
      </c>
      <c r="B20" s="3">
        <v>0.105</v>
      </c>
    </row>
    <row r="21" spans="1:2" x14ac:dyDescent="0.25">
      <c r="A21" t="s">
        <v>74</v>
      </c>
      <c r="B21" s="3">
        <v>-1.2</v>
      </c>
    </row>
    <row r="22" spans="1:2" x14ac:dyDescent="0.25">
      <c r="A22" t="s">
        <v>75</v>
      </c>
      <c r="B22" s="3">
        <v>0</v>
      </c>
    </row>
    <row r="24" spans="1:2" x14ac:dyDescent="0.25">
      <c r="A24" t="s">
        <v>72</v>
      </c>
      <c r="B24" s="3">
        <v>1</v>
      </c>
    </row>
    <row r="25" spans="1:2" x14ac:dyDescent="0.25">
      <c r="A25" t="s">
        <v>81</v>
      </c>
      <c r="B25" s="3">
        <v>0.5</v>
      </c>
    </row>
    <row r="26" spans="1:2" x14ac:dyDescent="0.25">
      <c r="A26" t="s">
        <v>86</v>
      </c>
      <c r="B26">
        <f>'Calculations (ignore)'!B48</f>
        <v>11.527360295602012</v>
      </c>
    </row>
    <row r="27" spans="1:2" x14ac:dyDescent="0.25">
      <c r="A27" t="s">
        <v>116</v>
      </c>
      <c r="B27">
        <f>'Calculations (ignore)'!N37-'Calculations (ignore)'!B37+B21-B22</f>
        <v>-13.588889482722266</v>
      </c>
    </row>
    <row r="28" spans="1:2" x14ac:dyDescent="0.25">
      <c r="A28" t="s">
        <v>118</v>
      </c>
      <c r="B28">
        <f>'Calculations (ignore)'!N37-'Calculations (ignore)'!B37</f>
        <v>-12.388889482722266</v>
      </c>
    </row>
    <row r="30" spans="1:2" x14ac:dyDescent="0.25">
      <c r="A30" t="s">
        <v>119</v>
      </c>
      <c r="B30" s="3">
        <v>-0.35</v>
      </c>
    </row>
    <row r="31" spans="1:2" x14ac:dyDescent="0.25">
      <c r="A31" t="s">
        <v>120</v>
      </c>
      <c r="B31">
        <f>(0.25+(TAN(((B12)^(1.05+B14*0.14))*3.14/180)*B13*0.018*(1-B13)^2)-(TAN(((B12)^0.6)*3.14/180)*B13*0.366667)+(-0.00328594366*B14^2-0.1860261*B14+2.33932997)/100)*100</f>
        <v>26.062761947653009</v>
      </c>
    </row>
    <row r="32" spans="1:2" x14ac:dyDescent="0.25">
      <c r="A32" t="s">
        <v>121</v>
      </c>
      <c r="B32">
        <f>'Calculations (ignore)'!D63-'Parabell Planform'!B31*'Calculations (ignore)'!B60/100</f>
        <v>-0.44625368439633478</v>
      </c>
    </row>
    <row r="33" spans="1:14" ht="15.75" thickBot="1" x14ac:dyDescent="0.3">
      <c r="A33" t="s">
        <v>122</v>
      </c>
      <c r="B33">
        <f>'Calculations (ignore)'!B68</f>
        <v>-0.43853740708811351</v>
      </c>
    </row>
    <row r="34" spans="1:14" ht="15.75" thickBot="1" x14ac:dyDescent="0.3">
      <c r="A34" t="s">
        <v>123</v>
      </c>
      <c r="B34" s="53">
        <f>(-B32+B30)*100/B15</f>
        <v>13.257008400778648</v>
      </c>
    </row>
    <row r="35" spans="1:14" x14ac:dyDescent="0.25">
      <c r="A35" t="s">
        <v>90</v>
      </c>
      <c r="B35">
        <f>'Calculations (ignore)'!B73</f>
        <v>12.805753546874358</v>
      </c>
    </row>
    <row r="41" spans="1:14" ht="15.75" thickBot="1" x14ac:dyDescent="0.3"/>
    <row r="42" spans="1:14" ht="15.75" thickBot="1" x14ac:dyDescent="0.3">
      <c r="A42" s="57" t="s">
        <v>112</v>
      </c>
      <c r="B42" s="58"/>
      <c r="C42" s="58"/>
      <c r="D42" s="58"/>
      <c r="E42" s="58"/>
      <c r="F42" s="58"/>
      <c r="G42" s="58"/>
      <c r="H42" s="58"/>
      <c r="I42" s="58"/>
      <c r="J42" s="58"/>
      <c r="K42" s="58"/>
      <c r="L42" s="58"/>
      <c r="M42" s="58"/>
      <c r="N42" s="59"/>
    </row>
    <row r="43" spans="1:14" ht="15.75" thickBot="1" x14ac:dyDescent="0.3">
      <c r="A43" s="49" t="s">
        <v>115</v>
      </c>
      <c r="B43" s="50" t="s">
        <v>4</v>
      </c>
      <c r="C43" s="50">
        <v>2</v>
      </c>
      <c r="D43" s="50">
        <v>3</v>
      </c>
      <c r="E43" s="50">
        <v>4</v>
      </c>
      <c r="F43" s="50">
        <v>5</v>
      </c>
      <c r="G43" s="50">
        <v>6</v>
      </c>
      <c r="H43" s="50">
        <v>7</v>
      </c>
      <c r="I43" s="50">
        <v>8</v>
      </c>
      <c r="J43" s="50">
        <v>9</v>
      </c>
      <c r="K43" s="50">
        <v>10</v>
      </c>
      <c r="L43" s="50">
        <v>11</v>
      </c>
      <c r="M43" s="50">
        <v>12</v>
      </c>
      <c r="N43" s="51" t="s">
        <v>3</v>
      </c>
    </row>
    <row r="44" spans="1:14" x14ac:dyDescent="0.25">
      <c r="A44" s="10" t="s">
        <v>38</v>
      </c>
      <c r="B44" s="15">
        <f>'Calculations (ignore)'!B3</f>
        <v>0</v>
      </c>
      <c r="C44" s="15">
        <f>'Calculations (ignore)'!C3</f>
        <v>0.125</v>
      </c>
      <c r="D44" s="15">
        <f>'Calculations (ignore)'!D3</f>
        <v>0.25</v>
      </c>
      <c r="E44" s="15">
        <f>'Calculations (ignore)'!E3</f>
        <v>0.375</v>
      </c>
      <c r="F44" s="15">
        <f>'Calculations (ignore)'!F3</f>
        <v>0.5</v>
      </c>
      <c r="G44" s="15">
        <f>'Calculations (ignore)'!G3</f>
        <v>0.625</v>
      </c>
      <c r="H44" s="15">
        <f>'Calculations (ignore)'!H3</f>
        <v>0.74999999999999989</v>
      </c>
      <c r="I44" s="15">
        <f>'Calculations (ignore)'!I3</f>
        <v>0.87499999999999989</v>
      </c>
      <c r="J44" s="15">
        <f>'Calculations (ignore)'!J3</f>
        <v>1</v>
      </c>
      <c r="K44" s="15">
        <f>'Calculations (ignore)'!K3</f>
        <v>1.125</v>
      </c>
      <c r="L44" s="15">
        <f>'Calculations (ignore)'!L3</f>
        <v>1.25</v>
      </c>
      <c r="M44" s="15">
        <f>'Calculations (ignore)'!M3</f>
        <v>1.375</v>
      </c>
      <c r="N44" s="11">
        <f>'Calculations (ignore)'!N3</f>
        <v>1.5</v>
      </c>
    </row>
    <row r="45" spans="1:14" x14ac:dyDescent="0.25">
      <c r="A45" s="10" t="s">
        <v>111</v>
      </c>
      <c r="B45" s="15">
        <f>'Calculations (ignore)'!B7</f>
        <v>0</v>
      </c>
      <c r="C45" s="15">
        <f>'Calculations (ignore)'!C7</f>
        <v>-7.8125E-3</v>
      </c>
      <c r="D45" s="15">
        <f>'Calculations (ignore)'!D7</f>
        <v>-3.125E-2</v>
      </c>
      <c r="E45" s="15">
        <f>'Calculations (ignore)'!E7</f>
        <v>-7.03125E-2</v>
      </c>
      <c r="F45" s="15">
        <f>'Calculations (ignore)'!F7</f>
        <v>-0.125</v>
      </c>
      <c r="G45" s="15">
        <f>'Calculations (ignore)'!G7</f>
        <v>-0.1953125</v>
      </c>
      <c r="H45" s="15">
        <f>'Calculations (ignore)'!H7</f>
        <v>-0.28124999999999989</v>
      </c>
      <c r="I45" s="15">
        <f>'Calculations (ignore)'!I7</f>
        <v>-0.38281249999999989</v>
      </c>
      <c r="J45" s="15">
        <f>'Calculations (ignore)'!J7</f>
        <v>-0.5</v>
      </c>
      <c r="K45" s="15">
        <f>'Calculations (ignore)'!K7</f>
        <v>-0.6328125</v>
      </c>
      <c r="L45" s="15">
        <f>'Calculations (ignore)'!L7</f>
        <v>-0.78125</v>
      </c>
      <c r="M45" s="15">
        <f>'Calculations (ignore)'!M7</f>
        <v>-0.9453125</v>
      </c>
      <c r="N45" s="11">
        <f>'Calculations (ignore)'!N7</f>
        <v>-1.125</v>
      </c>
    </row>
    <row r="46" spans="1:14" x14ac:dyDescent="0.25">
      <c r="A46" s="10" t="s">
        <v>16</v>
      </c>
      <c r="B46" s="15">
        <f>'Calculations (ignore)'!B11</f>
        <v>0.9</v>
      </c>
      <c r="C46" s="15">
        <f>'Calculations (ignore)'!C11</f>
        <v>0.89557291666666672</v>
      </c>
      <c r="D46" s="15">
        <f>'Calculations (ignore)'!D11</f>
        <v>0.88020833333333337</v>
      </c>
      <c r="E46" s="15">
        <f>'Calculations (ignore)'!E11</f>
        <v>0.85390625000000009</v>
      </c>
      <c r="F46" s="15">
        <f>'Calculations (ignore)'!F11</f>
        <v>0.81666666666666665</v>
      </c>
      <c r="G46" s="15">
        <f>'Calculations (ignore)'!G11</f>
        <v>0.76848958333333339</v>
      </c>
      <c r="H46" s="15">
        <f>'Calculations (ignore)'!H11</f>
        <v>0.70937500000000009</v>
      </c>
      <c r="I46" s="15">
        <f>'Calculations (ignore)'!I11</f>
        <v>0.63932291666666685</v>
      </c>
      <c r="J46" s="15">
        <f>'Calculations (ignore)'!J11</f>
        <v>0.55833333333333335</v>
      </c>
      <c r="K46" s="15">
        <f>'Calculations (ignore)'!K11</f>
        <v>0.46640625000000013</v>
      </c>
      <c r="L46" s="15">
        <f>'Calculations (ignore)'!L11</f>
        <v>0.36354166666666665</v>
      </c>
      <c r="M46" s="15">
        <f>'Calculations (ignore)'!M11</f>
        <v>0.24973958333333335</v>
      </c>
      <c r="N46" s="11">
        <f>'Calculations (ignore)'!N11</f>
        <v>0.125</v>
      </c>
    </row>
    <row r="47" spans="1:14" x14ac:dyDescent="0.25">
      <c r="A47" s="10" t="s">
        <v>110</v>
      </c>
      <c r="B47" s="15">
        <f>C44-B44</f>
        <v>0.125</v>
      </c>
      <c r="C47" s="15">
        <f t="shared" ref="C47:M47" si="0">D44-C44</f>
        <v>0.125</v>
      </c>
      <c r="D47" s="15">
        <f t="shared" si="0"/>
        <v>0.125</v>
      </c>
      <c r="E47" s="15">
        <f t="shared" si="0"/>
        <v>0.125</v>
      </c>
      <c r="F47" s="15">
        <f t="shared" si="0"/>
        <v>0.125</v>
      </c>
      <c r="G47" s="15">
        <f t="shared" si="0"/>
        <v>0.12499999999999989</v>
      </c>
      <c r="H47" s="15">
        <f t="shared" si="0"/>
        <v>0.125</v>
      </c>
      <c r="I47" s="15">
        <f t="shared" si="0"/>
        <v>0.12500000000000011</v>
      </c>
      <c r="J47" s="15">
        <f t="shared" si="0"/>
        <v>0.125</v>
      </c>
      <c r="K47" s="15">
        <f t="shared" si="0"/>
        <v>0.125</v>
      </c>
      <c r="L47" s="15">
        <f t="shared" si="0"/>
        <v>0.125</v>
      </c>
      <c r="M47" s="15">
        <f t="shared" si="0"/>
        <v>0.125</v>
      </c>
      <c r="N47" s="11"/>
    </row>
    <row r="48" spans="1:14" x14ac:dyDescent="0.25">
      <c r="A48" s="10" t="s">
        <v>114</v>
      </c>
      <c r="B48" s="15">
        <f>'Calculations (ignore)'!B40</f>
        <v>3.0722938855336333</v>
      </c>
      <c r="C48" s="15">
        <f>'Calculations (ignore)'!C40</f>
        <v>8.9143063688510829</v>
      </c>
      <c r="D48" s="15">
        <f>'Calculations (ignore)'!D40</f>
        <v>14.576015075320264</v>
      </c>
      <c r="E48" s="15">
        <f>'Calculations (ignore)'!E40</f>
        <v>19.962071804626689</v>
      </c>
      <c r="F48" s="15">
        <f>'Calculations (ignore)'!F40</f>
        <v>25.005060163607197</v>
      </c>
      <c r="G48" s="15">
        <f>'Calculations (ignore)'!G40</f>
        <v>29.666636931678287</v>
      </c>
      <c r="H48" s="15">
        <f>'Calculations (ignore)'!H40</f>
        <v>33.933924962551991</v>
      </c>
      <c r="I48" s="15">
        <f>'Calculations (ignore)'!I40</f>
        <v>37.813493121629307</v>
      </c>
      <c r="J48" s="15">
        <f>'Calculations (ignore)'!J40</f>
        <v>41.324971492131091</v>
      </c>
      <c r="K48" s="15">
        <f>'Calculations (ignore)'!K40</f>
        <v>44.495541383276027</v>
      </c>
      <c r="L48" s="15">
        <f>'Calculations (ignore)'!L40</f>
        <v>47.355772406324988</v>
      </c>
      <c r="M48" s="15">
        <f>'Calculations (ignore)'!M40</f>
        <v>49.936786683663343</v>
      </c>
      <c r="N48" s="11"/>
    </row>
    <row r="49" spans="1:14" x14ac:dyDescent="0.25">
      <c r="A49" s="10" t="s">
        <v>108</v>
      </c>
      <c r="B49" s="15">
        <f>'Calculations (ignore)'!B39</f>
        <v>3.5781483437173005</v>
      </c>
      <c r="C49" s="15">
        <f>'Calculations (ignore)'!C39</f>
        <v>10.625041719498425</v>
      </c>
      <c r="D49" s="15">
        <f>'Calculations (ignore)'!D39</f>
        <v>17.362826849520655</v>
      </c>
      <c r="E49" s="15">
        <f>'Calculations (ignore)'!E39</f>
        <v>23.641362894117744</v>
      </c>
      <c r="F49" s="15">
        <f>'Calculations (ignore)'!F39</f>
        <v>29.372644221634644</v>
      </c>
      <c r="G49" s="15">
        <f>'Calculations (ignore)'!G39</f>
        <v>34.526026211558445</v>
      </c>
      <c r="H49" s="15">
        <f>'Calculations (ignore)'!H39</f>
        <v>39.11368785906199</v>
      </c>
      <c r="I49" s="15">
        <f>'Calculations (ignore)'!I39</f>
        <v>43.174277252609869</v>
      </c>
      <c r="J49" s="15">
        <f>'Calculations (ignore)'!J39</f>
        <v>46.759409616853567</v>
      </c>
      <c r="K49" s="15">
        <f>'Calculations (ignore)'!K39</f>
        <v>49.924401997967365</v>
      </c>
      <c r="L49" s="15">
        <f>'Calculations (ignore)'!L39</f>
        <v>52.722779924546188</v>
      </c>
      <c r="M49" s="15">
        <f>'Calculations (ignore)'!M39</f>
        <v>55.203496663238376</v>
      </c>
      <c r="N49" s="11"/>
    </row>
    <row r="50" spans="1:14" ht="15.75" thickBot="1" x14ac:dyDescent="0.3">
      <c r="A50" s="12" t="s">
        <v>41</v>
      </c>
      <c r="B50" s="21">
        <f>'Loft Viewer'!B8</f>
        <v>8.4829900706354096</v>
      </c>
      <c r="C50" s="21">
        <f>'Loft Viewer'!C8</f>
        <v>8.4970932331976048</v>
      </c>
      <c r="D50" s="21">
        <f>'Loft Viewer'!D8</f>
        <v>8.3521036481733404</v>
      </c>
      <c r="E50" s="21">
        <f>'Loft Viewer'!E8</f>
        <v>8.0460151287766841</v>
      </c>
      <c r="F50" s="21">
        <f>'Loft Viewer'!F8</f>
        <v>7.575315660905372</v>
      </c>
      <c r="G50" s="21">
        <f>'Loft Viewer'!G8</f>
        <v>6.9346026239861676</v>
      </c>
      <c r="H50" s="21">
        <f>'Loft Viewer'!H8</f>
        <v>6.1158849535117064</v>
      </c>
      <c r="I50" s="21">
        <f>'Loft Viewer'!I8</f>
        <v>5.1073125809029669</v>
      </c>
      <c r="J50" s="21">
        <f>'Loft Viewer'!J8</f>
        <v>3.8907630269934983</v>
      </c>
      <c r="K50" s="21">
        <f>'Loft Viewer'!K8</f>
        <v>2.4369435918125348</v>
      </c>
      <c r="L50" s="21">
        <f>'Loft Viewer'!L8</f>
        <v>0.69468425691597802</v>
      </c>
      <c r="M50" s="21">
        <f>'Loft Viewer'!M8</f>
        <v>-1.4314298732636495</v>
      </c>
      <c r="N50" s="13">
        <f>'Loft Viewer'!N8</f>
        <v>-3.905899412086856</v>
      </c>
    </row>
  </sheetData>
  <mergeCells count="2">
    <mergeCell ref="A3:B3"/>
    <mergeCell ref="A42:N42"/>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0"/>
  <sheetViews>
    <sheetView topLeftCell="A22" zoomScale="80" zoomScaleNormal="80" workbookViewId="0">
      <selection activeCell="E63" sqref="E63"/>
    </sheetView>
  </sheetViews>
  <sheetFormatPr defaultRowHeight="15" x14ac:dyDescent="0.25"/>
  <cols>
    <col min="1" max="1" width="27.140625" customWidth="1"/>
    <col min="2" max="2" width="8.5703125" customWidth="1"/>
    <col min="3" max="3" width="9.7109375" customWidth="1"/>
    <col min="4" max="4" width="9.5703125" customWidth="1"/>
  </cols>
  <sheetData>
    <row r="1" spans="1:14" ht="15.75" thickBot="1" x14ac:dyDescent="0.3">
      <c r="A1" s="6"/>
    </row>
    <row r="2" spans="1:14" ht="15.75" thickBot="1" x14ac:dyDescent="0.3">
      <c r="A2" t="s">
        <v>45</v>
      </c>
      <c r="B2" s="39">
        <v>0</v>
      </c>
    </row>
    <row r="3" spans="1:14" ht="15.75" thickBot="1" x14ac:dyDescent="0.3">
      <c r="A3" t="s">
        <v>37</v>
      </c>
      <c r="B3" s="40" t="s">
        <v>4</v>
      </c>
      <c r="C3" s="41">
        <v>2</v>
      </c>
      <c r="D3" s="41">
        <v>3</v>
      </c>
      <c r="E3" s="41">
        <v>4</v>
      </c>
      <c r="F3" s="41">
        <v>5</v>
      </c>
      <c r="G3" s="41">
        <v>6</v>
      </c>
      <c r="H3" s="41">
        <v>7</v>
      </c>
      <c r="I3" s="41">
        <v>8</v>
      </c>
      <c r="J3" s="41">
        <v>9</v>
      </c>
      <c r="K3" s="41">
        <v>10</v>
      </c>
      <c r="L3" s="41">
        <v>11</v>
      </c>
      <c r="M3" s="41">
        <v>12</v>
      </c>
      <c r="N3" s="42" t="s">
        <v>3</v>
      </c>
    </row>
    <row r="4" spans="1:14" x14ac:dyDescent="0.25">
      <c r="A4" s="35" t="s">
        <v>15</v>
      </c>
      <c r="B4">
        <f>'Calculations (ignore)'!B1</f>
        <v>3</v>
      </c>
      <c r="C4">
        <f>B4</f>
        <v>3</v>
      </c>
      <c r="D4">
        <f t="shared" ref="D4:N4" si="0">C4</f>
        <v>3</v>
      </c>
      <c r="E4">
        <f t="shared" si="0"/>
        <v>3</v>
      </c>
      <c r="F4">
        <f t="shared" si="0"/>
        <v>3</v>
      </c>
      <c r="G4">
        <f t="shared" si="0"/>
        <v>3</v>
      </c>
      <c r="H4">
        <f t="shared" si="0"/>
        <v>3</v>
      </c>
      <c r="I4">
        <f t="shared" si="0"/>
        <v>3</v>
      </c>
      <c r="J4">
        <f t="shared" si="0"/>
        <v>3</v>
      </c>
      <c r="K4">
        <f t="shared" si="0"/>
        <v>3</v>
      </c>
      <c r="L4">
        <f t="shared" si="0"/>
        <v>3</v>
      </c>
      <c r="M4">
        <f t="shared" si="0"/>
        <v>3</v>
      </c>
      <c r="N4">
        <f t="shared" si="0"/>
        <v>3</v>
      </c>
    </row>
    <row r="5" spans="1:14" x14ac:dyDescent="0.25">
      <c r="A5" t="s">
        <v>38</v>
      </c>
      <c r="B5">
        <f>'Calculations (ignore)'!B3</f>
        <v>0</v>
      </c>
      <c r="C5">
        <f>'Calculations (ignore)'!C3</f>
        <v>0.125</v>
      </c>
      <c r="D5">
        <f>'Calculations (ignore)'!D3</f>
        <v>0.25</v>
      </c>
      <c r="E5">
        <f>'Calculations (ignore)'!E3</f>
        <v>0.375</v>
      </c>
      <c r="F5">
        <f>'Calculations (ignore)'!F3</f>
        <v>0.5</v>
      </c>
      <c r="G5">
        <f>'Calculations (ignore)'!G3</f>
        <v>0.625</v>
      </c>
      <c r="H5">
        <f>'Calculations (ignore)'!H3</f>
        <v>0.74999999999999989</v>
      </c>
      <c r="I5">
        <f>'Calculations (ignore)'!I3</f>
        <v>0.87499999999999989</v>
      </c>
      <c r="J5">
        <f>'Calculations (ignore)'!J3</f>
        <v>1</v>
      </c>
      <c r="K5">
        <f>'Calculations (ignore)'!K3</f>
        <v>1.125</v>
      </c>
      <c r="L5">
        <f>'Calculations (ignore)'!L3</f>
        <v>1.25</v>
      </c>
      <c r="M5">
        <f>'Calculations (ignore)'!M3</f>
        <v>1.375</v>
      </c>
      <c r="N5">
        <f>'Calculations (ignore)'!N3</f>
        <v>1.5</v>
      </c>
    </row>
    <row r="6" spans="1:14" x14ac:dyDescent="0.25">
      <c r="A6" t="s">
        <v>39</v>
      </c>
      <c r="B6">
        <f>'Calculations (ignore)'!B11</f>
        <v>0.9</v>
      </c>
      <c r="C6">
        <f>'Calculations (ignore)'!C11</f>
        <v>0.89557291666666672</v>
      </c>
      <c r="D6">
        <f>'Calculations (ignore)'!D11</f>
        <v>0.88020833333333337</v>
      </c>
      <c r="E6">
        <f>'Calculations (ignore)'!E11</f>
        <v>0.85390625000000009</v>
      </c>
      <c r="F6">
        <f>'Calculations (ignore)'!F11</f>
        <v>0.81666666666666665</v>
      </c>
      <c r="G6">
        <f>'Calculations (ignore)'!G11</f>
        <v>0.76848958333333339</v>
      </c>
      <c r="H6">
        <f>'Calculations (ignore)'!H11</f>
        <v>0.70937500000000009</v>
      </c>
      <c r="I6">
        <f>'Calculations (ignore)'!I11</f>
        <v>0.63932291666666685</v>
      </c>
      <c r="J6">
        <f>'Calculations (ignore)'!J11</f>
        <v>0.55833333333333335</v>
      </c>
      <c r="K6">
        <f>'Calculations (ignore)'!K11</f>
        <v>0.46640625000000013</v>
      </c>
      <c r="L6">
        <f>'Calculations (ignore)'!L11</f>
        <v>0.36354166666666665</v>
      </c>
      <c r="M6">
        <f>'Calculations (ignore)'!M11</f>
        <v>0.24973958333333335</v>
      </c>
      <c r="N6">
        <f>'Calculations (ignore)'!N11</f>
        <v>0.125</v>
      </c>
    </row>
    <row r="7" spans="1:14" x14ac:dyDescent="0.25">
      <c r="A7" s="46" t="s">
        <v>40</v>
      </c>
      <c r="B7">
        <f>-'Calculations (ignore)'!B7</f>
        <v>0</v>
      </c>
      <c r="C7">
        <f>-'Calculations (ignore)'!C7</f>
        <v>7.8125E-3</v>
      </c>
      <c r="D7">
        <f>-'Calculations (ignore)'!D7</f>
        <v>3.125E-2</v>
      </c>
      <c r="E7">
        <f>-'Calculations (ignore)'!E7</f>
        <v>7.03125E-2</v>
      </c>
      <c r="F7">
        <f>-'Calculations (ignore)'!F7</f>
        <v>0.125</v>
      </c>
      <c r="G7">
        <f>-'Calculations (ignore)'!G7</f>
        <v>0.1953125</v>
      </c>
      <c r="H7">
        <f>-'Calculations (ignore)'!H7</f>
        <v>0.28124999999999989</v>
      </c>
      <c r="I7">
        <f>-'Calculations (ignore)'!I7</f>
        <v>0.38281249999999989</v>
      </c>
      <c r="J7">
        <f>-'Calculations (ignore)'!J7</f>
        <v>0.5</v>
      </c>
      <c r="K7">
        <f>-'Calculations (ignore)'!K7</f>
        <v>0.6328125</v>
      </c>
      <c r="L7">
        <f>-'Calculations (ignore)'!L7</f>
        <v>0.78125</v>
      </c>
      <c r="M7">
        <f>-'Calculations (ignore)'!M7</f>
        <v>0.9453125</v>
      </c>
      <c r="N7">
        <f>-'Calculations (ignore)'!N7</f>
        <v>1.125</v>
      </c>
    </row>
    <row r="8" spans="1:14" x14ac:dyDescent="0.25">
      <c r="A8" t="s">
        <v>41</v>
      </c>
      <c r="B8" s="29">
        <f>'Calculations (ignore)'!B37</f>
        <v>8.4829900706354096</v>
      </c>
      <c r="C8" s="29">
        <f>'Calculations (ignore)'!C37</f>
        <v>8.4970932331976048</v>
      </c>
      <c r="D8" s="29">
        <f>'Calculations (ignore)'!D37</f>
        <v>8.3521036481733404</v>
      </c>
      <c r="E8" s="29">
        <f>'Calculations (ignore)'!E37</f>
        <v>8.0460151287766841</v>
      </c>
      <c r="F8" s="29">
        <f>'Calculations (ignore)'!F37</f>
        <v>7.575315660905372</v>
      </c>
      <c r="G8" s="29">
        <f>'Calculations (ignore)'!G37</f>
        <v>6.9346026239861676</v>
      </c>
      <c r="H8" s="29">
        <f>'Calculations (ignore)'!H37</f>
        <v>6.1158849535117064</v>
      </c>
      <c r="I8" s="29">
        <f>'Calculations (ignore)'!I37</f>
        <v>5.1073125809029669</v>
      </c>
      <c r="J8" s="29">
        <f>'Calculations (ignore)'!J37</f>
        <v>3.8907630269934983</v>
      </c>
      <c r="K8" s="29">
        <f>'Calculations (ignore)'!K37</f>
        <v>2.4369435918125348</v>
      </c>
      <c r="L8" s="29">
        <f>'Calculations (ignore)'!L37</f>
        <v>0.69468425691597802</v>
      </c>
      <c r="M8" s="29">
        <f>'Calculations (ignore)'!M37</f>
        <v>-1.4314298732636495</v>
      </c>
      <c r="N8" s="29">
        <f>'Calculations (ignore)'!N37</f>
        <v>-3.905899412086856</v>
      </c>
    </row>
    <row r="9" spans="1:14" x14ac:dyDescent="0.25">
      <c r="A9" t="s">
        <v>42</v>
      </c>
      <c r="B9">
        <f>C5-B5</f>
        <v>0.125</v>
      </c>
      <c r="C9">
        <f t="shared" ref="C9:M9" si="1">D5-C5</f>
        <v>0.125</v>
      </c>
      <c r="D9">
        <f t="shared" si="1"/>
        <v>0.125</v>
      </c>
      <c r="E9">
        <f t="shared" si="1"/>
        <v>0.125</v>
      </c>
      <c r="F9">
        <f t="shared" si="1"/>
        <v>0.125</v>
      </c>
      <c r="G9">
        <f t="shared" si="1"/>
        <v>0.12499999999999989</v>
      </c>
      <c r="H9">
        <f t="shared" si="1"/>
        <v>0.125</v>
      </c>
      <c r="I9">
        <f t="shared" si="1"/>
        <v>0.12500000000000011</v>
      </c>
      <c r="J9">
        <f t="shared" si="1"/>
        <v>0.125</v>
      </c>
      <c r="K9">
        <f t="shared" si="1"/>
        <v>0.125</v>
      </c>
      <c r="L9">
        <f t="shared" si="1"/>
        <v>0.125</v>
      </c>
      <c r="M9">
        <f t="shared" si="1"/>
        <v>0.125</v>
      </c>
    </row>
    <row r="10" spans="1:14" x14ac:dyDescent="0.25">
      <c r="A10" t="s">
        <v>17</v>
      </c>
      <c r="B10">
        <f t="shared" ref="B10:N10" si="2">(100-B5*100/(0.5*B4))</f>
        <v>100</v>
      </c>
      <c r="C10">
        <f t="shared" si="2"/>
        <v>91.666666666666671</v>
      </c>
      <c r="D10">
        <f t="shared" si="2"/>
        <v>83.333333333333329</v>
      </c>
      <c r="E10">
        <f t="shared" si="2"/>
        <v>75</v>
      </c>
      <c r="F10">
        <f t="shared" si="2"/>
        <v>66.666666666666657</v>
      </c>
      <c r="G10">
        <f t="shared" si="2"/>
        <v>58.333333333333336</v>
      </c>
      <c r="H10">
        <f t="shared" si="2"/>
        <v>50.000000000000007</v>
      </c>
      <c r="I10">
        <f t="shared" si="2"/>
        <v>41.666666666666679</v>
      </c>
      <c r="J10">
        <f t="shared" si="2"/>
        <v>33.333333333333329</v>
      </c>
      <c r="K10">
        <f t="shared" si="2"/>
        <v>25</v>
      </c>
      <c r="L10">
        <f t="shared" si="2"/>
        <v>16.666666666666671</v>
      </c>
      <c r="M10">
        <f t="shared" si="2"/>
        <v>8.3333333333333286</v>
      </c>
      <c r="N10">
        <f t="shared" si="2"/>
        <v>0</v>
      </c>
    </row>
  </sheetData>
  <pageMargins left="0.7" right="0.7" top="0.75" bottom="0.75" header="0.3" footer="0.3"/>
  <pageSetup paperSize="9"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4"/>
  <sheetViews>
    <sheetView zoomScale="80" zoomScaleNormal="80" workbookViewId="0">
      <selection activeCell="G69" sqref="G69"/>
    </sheetView>
  </sheetViews>
  <sheetFormatPr defaultRowHeight="15" x14ac:dyDescent="0.25"/>
  <cols>
    <col min="2" max="2" width="10" customWidth="1"/>
    <col min="3" max="3" width="11.42578125" customWidth="1"/>
    <col min="4" max="4" width="5.5703125" customWidth="1"/>
    <col min="5" max="5" width="10.7109375" customWidth="1"/>
    <col min="6" max="6" width="11.42578125" customWidth="1"/>
    <col min="7" max="7" width="4.42578125" customWidth="1"/>
    <col min="11" max="11" width="6" customWidth="1"/>
    <col min="15" max="15" width="5.5703125" customWidth="1"/>
    <col min="19" max="19" width="5.28515625" customWidth="1"/>
    <col min="23" max="23" width="5.140625" customWidth="1"/>
    <col min="27" max="27" width="5.28515625" customWidth="1"/>
    <col min="31" max="31" width="5.140625" customWidth="1"/>
    <col min="35" max="35" width="4.5703125" customWidth="1"/>
    <col min="39" max="39" width="5.5703125" customWidth="1"/>
    <col min="43" max="43" width="5.5703125" customWidth="1"/>
    <col min="47" max="47" width="5.5703125" customWidth="1"/>
  </cols>
  <sheetData>
    <row r="1" spans="1:50" ht="15.75" thickBot="1" x14ac:dyDescent="0.3"/>
    <row r="2" spans="1:50" x14ac:dyDescent="0.25">
      <c r="A2" s="32"/>
      <c r="B2" s="61" t="s">
        <v>58</v>
      </c>
      <c r="C2" s="61"/>
      <c r="D2" s="14"/>
      <c r="E2" s="61" t="s">
        <v>53</v>
      </c>
      <c r="F2" s="61"/>
      <c r="G2" s="9"/>
      <c r="H2" s="60">
        <v>2</v>
      </c>
      <c r="I2" s="60"/>
      <c r="J2" s="60"/>
      <c r="L2" s="60">
        <v>3</v>
      </c>
      <c r="M2" s="60"/>
      <c r="N2" s="60"/>
      <c r="P2" s="60">
        <v>4</v>
      </c>
      <c r="Q2" s="60"/>
      <c r="R2" s="60"/>
      <c r="T2" s="60">
        <v>5</v>
      </c>
      <c r="U2" s="60"/>
      <c r="V2" s="60"/>
      <c r="X2" s="60">
        <v>6</v>
      </c>
      <c r="Y2" s="60"/>
      <c r="Z2" s="60"/>
      <c r="AB2" s="60">
        <v>7</v>
      </c>
      <c r="AC2" s="60"/>
      <c r="AD2" s="60"/>
      <c r="AF2" s="60">
        <v>8</v>
      </c>
      <c r="AG2" s="60"/>
      <c r="AH2" s="60"/>
      <c r="AJ2" s="60">
        <v>9</v>
      </c>
      <c r="AK2" s="60"/>
      <c r="AL2" s="60"/>
      <c r="AN2" s="60">
        <v>10</v>
      </c>
      <c r="AO2" s="60"/>
      <c r="AP2" s="60"/>
      <c r="AR2" s="60">
        <v>11</v>
      </c>
      <c r="AS2" s="60"/>
      <c r="AT2" s="60"/>
      <c r="AV2" s="60">
        <v>12</v>
      </c>
      <c r="AW2" s="60"/>
      <c r="AX2" s="60"/>
    </row>
    <row r="3" spans="1:50" x14ac:dyDescent="0.25">
      <c r="A3" s="10"/>
      <c r="B3" s="36" t="s">
        <v>6</v>
      </c>
      <c r="C3" s="36" t="s">
        <v>7</v>
      </c>
      <c r="D3" s="15"/>
      <c r="E3" s="36" t="s">
        <v>6</v>
      </c>
      <c r="F3" s="36" t="s">
        <v>7</v>
      </c>
      <c r="G3" s="11"/>
      <c r="H3" s="8" t="s">
        <v>12</v>
      </c>
      <c r="I3" s="8" t="s">
        <v>6</v>
      </c>
      <c r="J3" s="8" t="s">
        <v>7</v>
      </c>
      <c r="L3" s="8" t="s">
        <v>12</v>
      </c>
      <c r="M3" s="8" t="s">
        <v>6</v>
      </c>
      <c r="N3" s="8" t="s">
        <v>7</v>
      </c>
      <c r="P3" s="8" t="s">
        <v>12</v>
      </c>
      <c r="Q3" s="8" t="s">
        <v>6</v>
      </c>
      <c r="R3" s="8" t="s">
        <v>7</v>
      </c>
      <c r="T3" s="8" t="s">
        <v>12</v>
      </c>
      <c r="U3" s="8" t="s">
        <v>6</v>
      </c>
      <c r="V3" s="8" t="s">
        <v>7</v>
      </c>
      <c r="X3" s="8" t="s">
        <v>12</v>
      </c>
      <c r="Y3" s="8" t="s">
        <v>6</v>
      </c>
      <c r="Z3" s="8" t="s">
        <v>7</v>
      </c>
      <c r="AB3" s="8" t="s">
        <v>12</v>
      </c>
      <c r="AC3" s="8" t="s">
        <v>6</v>
      </c>
      <c r="AD3" s="8" t="s">
        <v>7</v>
      </c>
      <c r="AF3" s="8" t="s">
        <v>12</v>
      </c>
      <c r="AG3" s="8" t="s">
        <v>6</v>
      </c>
      <c r="AH3" s="8" t="s">
        <v>7</v>
      </c>
      <c r="AJ3" s="8" t="s">
        <v>12</v>
      </c>
      <c r="AK3" s="8" t="s">
        <v>6</v>
      </c>
      <c r="AL3" s="8" t="s">
        <v>7</v>
      </c>
      <c r="AN3" s="8" t="s">
        <v>12</v>
      </c>
      <c r="AO3" s="8" t="s">
        <v>6</v>
      </c>
      <c r="AP3" s="8" t="s">
        <v>7</v>
      </c>
      <c r="AR3" s="8" t="s">
        <v>12</v>
      </c>
      <c r="AS3" s="8" t="s">
        <v>6</v>
      </c>
      <c r="AT3" s="8" t="s">
        <v>7</v>
      </c>
      <c r="AV3" s="8" t="s">
        <v>12</v>
      </c>
      <c r="AW3" s="8" t="s">
        <v>6</v>
      </c>
      <c r="AX3" s="8" t="s">
        <v>7</v>
      </c>
    </row>
    <row r="4" spans="1:50" x14ac:dyDescent="0.25">
      <c r="A4" s="37">
        <v>1</v>
      </c>
      <c r="B4" s="17">
        <v>1</v>
      </c>
      <c r="C4" s="17">
        <v>1.3999999999999999E-4</v>
      </c>
      <c r="D4" s="15"/>
      <c r="E4" s="38">
        <v>1</v>
      </c>
      <c r="F4" s="38">
        <v>1.0499999999999999E-3</v>
      </c>
      <c r="G4" s="11"/>
      <c r="H4">
        <f>'Loft Viewer'!C10</f>
        <v>91.666666666666671</v>
      </c>
      <c r="I4">
        <f t="shared" ref="I4:I33" si="0">E4+(B4-E4)*H4/100</f>
        <v>1</v>
      </c>
      <c r="J4">
        <f t="shared" ref="J4:J33" si="1">F4+(C4-F4)*H4/100</f>
        <v>2.1583333333333329E-4</v>
      </c>
      <c r="L4">
        <f>'Loft Viewer'!D10</f>
        <v>83.333333333333329</v>
      </c>
      <c r="M4">
        <f t="shared" ref="M4:M33" si="2">E4+(B4-E4)*L4/100</f>
        <v>1</v>
      </c>
      <c r="N4">
        <f t="shared" ref="N4:N33" si="3">F4+(C4-F4)*L4/100</f>
        <v>2.9166666666666653E-4</v>
      </c>
      <c r="P4">
        <f>'Loft Viewer'!E10</f>
        <v>75</v>
      </c>
      <c r="Q4">
        <f t="shared" ref="Q4:Q33" si="4">E4+(B4-E4)*P4/100</f>
        <v>1</v>
      </c>
      <c r="R4">
        <f t="shared" ref="R4:R33" si="5">F4+(C4-F4)*P4/100</f>
        <v>3.6749999999999988E-4</v>
      </c>
      <c r="T4">
        <f>'Loft Viewer'!F10</f>
        <v>66.666666666666657</v>
      </c>
      <c r="U4">
        <f t="shared" ref="U4:U33" si="6">E4+(B4-E4)*T4/100</f>
        <v>1</v>
      </c>
      <c r="V4">
        <f t="shared" ref="V4:V33" si="7">F4+(C4-F4)*T4/100</f>
        <v>4.4333333333333334E-4</v>
      </c>
      <c r="X4">
        <f>'Loft Viewer'!G10</f>
        <v>58.333333333333336</v>
      </c>
      <c r="Y4">
        <f t="shared" ref="Y4:Y33" si="8">E4+(B4-E4)*X4/100</f>
        <v>1</v>
      </c>
      <c r="Z4">
        <f t="shared" ref="Z4:Z33" si="9">F4+(C4-F4)*X4/100</f>
        <v>5.1916666666666658E-4</v>
      </c>
      <c r="AB4">
        <f>'Loft Viewer'!H10</f>
        <v>50.000000000000007</v>
      </c>
      <c r="AC4">
        <f t="shared" ref="AC4:AC33" si="10">E4+(B4-E4)*AB4/100</f>
        <v>1</v>
      </c>
      <c r="AD4">
        <f t="shared" ref="AD4:AD33" si="11">F4+(C4-F4)*AB4/100</f>
        <v>5.9499999999999983E-4</v>
      </c>
      <c r="AF4">
        <f>'Loft Viewer'!I10</f>
        <v>41.666666666666679</v>
      </c>
      <c r="AG4">
        <f t="shared" ref="AG4:AG33" si="12">E4+(B4-E4)*AF4/100</f>
        <v>1</v>
      </c>
      <c r="AH4">
        <f t="shared" ref="AH4:AH33" si="13">F4+(C4-F4)*AF4/100</f>
        <v>6.7083333333333318E-4</v>
      </c>
      <c r="AJ4">
        <f>'Loft Viewer'!J10</f>
        <v>33.333333333333329</v>
      </c>
      <c r="AK4">
        <f t="shared" ref="AK4:AK33" si="14">E4+(B4-E4)*AJ4/100</f>
        <v>1</v>
      </c>
      <c r="AL4">
        <f t="shared" ref="AL4:AL33" si="15">F4+(C4-F4)*AJ4/100</f>
        <v>7.4666666666666664E-4</v>
      </c>
      <c r="AN4">
        <f>'Loft Viewer'!K10</f>
        <v>25</v>
      </c>
      <c r="AO4">
        <f t="shared" ref="AO4:AO33" si="16">E4+(B4-E4)*AN4/100</f>
        <v>1</v>
      </c>
      <c r="AP4">
        <f t="shared" ref="AP4:AP33" si="17">F4+(C4-F4)*AN4/100</f>
        <v>8.2249999999999988E-4</v>
      </c>
      <c r="AR4">
        <f>'Loft Viewer'!L10</f>
        <v>16.666666666666671</v>
      </c>
      <c r="AS4">
        <f t="shared" ref="AS4:AS33" si="18">E4+(B4-E4)*AR4/100</f>
        <v>1</v>
      </c>
      <c r="AT4">
        <f t="shared" ref="AT4:AT33" si="19">F4+(C4-F4)*AR4/100</f>
        <v>8.9833333333333323E-4</v>
      </c>
      <c r="AV4">
        <f>'Loft Viewer'!N10</f>
        <v>0</v>
      </c>
      <c r="AW4">
        <f t="shared" ref="AW4:AW33" si="20">E4+(B4-E4)*AV4/100</f>
        <v>1</v>
      </c>
      <c r="AX4">
        <f t="shared" ref="AX4:AX33" si="21">F4+(C4-F4)*AV4/100</f>
        <v>1.0499999999999999E-3</v>
      </c>
    </row>
    <row r="5" spans="1:50" x14ac:dyDescent="0.25">
      <c r="A5" s="37">
        <v>2</v>
      </c>
      <c r="B5" s="17">
        <v>0.95121999999999995</v>
      </c>
      <c r="C5" s="17">
        <v>5.6100000000000004E-3</v>
      </c>
      <c r="D5" s="15"/>
      <c r="E5" s="38">
        <v>0.95823000000000003</v>
      </c>
      <c r="F5" s="38">
        <v>5.8100000000000001E-3</v>
      </c>
      <c r="G5" s="11"/>
      <c r="H5">
        <f>H4</f>
        <v>91.666666666666671</v>
      </c>
      <c r="I5">
        <f t="shared" si="0"/>
        <v>0.95180416666666667</v>
      </c>
      <c r="J5">
        <f t="shared" si="1"/>
        <v>5.626666666666667E-3</v>
      </c>
      <c r="L5">
        <f>L4</f>
        <v>83.333333333333329</v>
      </c>
      <c r="M5">
        <f t="shared" si="2"/>
        <v>0.95238833333333328</v>
      </c>
      <c r="N5">
        <f t="shared" si="3"/>
        <v>5.6433333333333335E-3</v>
      </c>
      <c r="P5">
        <f>P4</f>
        <v>75</v>
      </c>
      <c r="Q5">
        <f t="shared" si="4"/>
        <v>0.9529725</v>
      </c>
      <c r="R5">
        <f t="shared" si="5"/>
        <v>5.6600000000000001E-3</v>
      </c>
      <c r="T5">
        <f>T4</f>
        <v>66.666666666666657</v>
      </c>
      <c r="U5">
        <f t="shared" si="6"/>
        <v>0.95355666666666661</v>
      </c>
      <c r="V5">
        <f t="shared" si="7"/>
        <v>5.6766666666666667E-3</v>
      </c>
      <c r="X5">
        <f>X4</f>
        <v>58.333333333333336</v>
      </c>
      <c r="Y5">
        <f t="shared" si="8"/>
        <v>0.95414083333333333</v>
      </c>
      <c r="Z5">
        <f t="shared" si="9"/>
        <v>5.6933333333333332E-3</v>
      </c>
      <c r="AB5">
        <f>AB4</f>
        <v>50.000000000000007</v>
      </c>
      <c r="AC5">
        <f t="shared" si="10"/>
        <v>0.95472499999999993</v>
      </c>
      <c r="AD5">
        <f t="shared" si="11"/>
        <v>5.7099999999999998E-3</v>
      </c>
      <c r="AF5">
        <f>AF4</f>
        <v>41.666666666666679</v>
      </c>
      <c r="AG5">
        <f t="shared" si="12"/>
        <v>0.95530916666666665</v>
      </c>
      <c r="AH5">
        <f t="shared" si="13"/>
        <v>5.7266666666666672E-3</v>
      </c>
      <c r="AJ5">
        <f>AJ4</f>
        <v>33.333333333333329</v>
      </c>
      <c r="AK5">
        <f t="shared" si="14"/>
        <v>0.95589333333333337</v>
      </c>
      <c r="AL5">
        <f t="shared" si="15"/>
        <v>5.7433333333333338E-3</v>
      </c>
      <c r="AN5">
        <f>AN4</f>
        <v>25</v>
      </c>
      <c r="AO5">
        <f t="shared" si="16"/>
        <v>0.95647749999999998</v>
      </c>
      <c r="AP5">
        <f t="shared" si="17"/>
        <v>5.7600000000000004E-3</v>
      </c>
      <c r="AR5">
        <f>AR4</f>
        <v>16.666666666666671</v>
      </c>
      <c r="AS5">
        <f t="shared" si="18"/>
        <v>0.9570616666666667</v>
      </c>
      <c r="AT5">
        <f t="shared" si="19"/>
        <v>5.7766666666666669E-3</v>
      </c>
      <c r="AV5">
        <f>AV4</f>
        <v>0</v>
      </c>
      <c r="AW5">
        <f t="shared" si="20"/>
        <v>0.95823000000000003</v>
      </c>
      <c r="AX5">
        <f t="shared" si="21"/>
        <v>5.8100000000000001E-3</v>
      </c>
    </row>
    <row r="6" spans="1:50" x14ac:dyDescent="0.25">
      <c r="A6" s="37">
        <v>3</v>
      </c>
      <c r="B6" s="17">
        <v>0.86626999999999998</v>
      </c>
      <c r="C6" s="17">
        <v>1.6240000000000001E-2</v>
      </c>
      <c r="D6" s="15"/>
      <c r="E6" s="38">
        <v>0.87217999999999996</v>
      </c>
      <c r="F6" s="38">
        <v>1.49E-2</v>
      </c>
      <c r="G6" s="11"/>
      <c r="H6">
        <f t="shared" ref="H6:H33" si="22">H5</f>
        <v>91.666666666666671</v>
      </c>
      <c r="I6">
        <f t="shared" si="0"/>
        <v>0.86676249999999999</v>
      </c>
      <c r="J6">
        <f t="shared" si="1"/>
        <v>1.6128333333333335E-2</v>
      </c>
      <c r="L6">
        <f t="shared" ref="L6:L33" si="23">L5</f>
        <v>83.333333333333329</v>
      </c>
      <c r="M6">
        <f t="shared" si="2"/>
        <v>0.867255</v>
      </c>
      <c r="N6">
        <f t="shared" si="3"/>
        <v>1.6016666666666669E-2</v>
      </c>
      <c r="P6">
        <f t="shared" ref="P6:P33" si="24">P5</f>
        <v>75</v>
      </c>
      <c r="Q6">
        <f t="shared" si="4"/>
        <v>0.8677475</v>
      </c>
      <c r="R6">
        <f t="shared" si="5"/>
        <v>1.5905000000000002E-2</v>
      </c>
      <c r="T6">
        <f t="shared" ref="T6:T33" si="25">T5</f>
        <v>66.666666666666657</v>
      </c>
      <c r="U6">
        <f t="shared" si="6"/>
        <v>0.86824000000000001</v>
      </c>
      <c r="V6">
        <f t="shared" si="7"/>
        <v>1.5793333333333333E-2</v>
      </c>
      <c r="X6">
        <f t="shared" ref="X6:X33" si="26">X5</f>
        <v>58.333333333333336</v>
      </c>
      <c r="Y6">
        <f t="shared" si="8"/>
        <v>0.86873250000000002</v>
      </c>
      <c r="Z6">
        <f t="shared" si="9"/>
        <v>1.5681666666666667E-2</v>
      </c>
      <c r="AB6">
        <f t="shared" ref="AB6:AB33" si="27">AB5</f>
        <v>50.000000000000007</v>
      </c>
      <c r="AC6">
        <f t="shared" si="10"/>
        <v>0.86922499999999991</v>
      </c>
      <c r="AD6">
        <f t="shared" si="11"/>
        <v>1.5570000000000001E-2</v>
      </c>
      <c r="AF6">
        <f t="shared" ref="AF6:AF33" si="28">AF5</f>
        <v>41.666666666666679</v>
      </c>
      <c r="AG6">
        <f t="shared" si="12"/>
        <v>0.86971749999999992</v>
      </c>
      <c r="AH6">
        <f t="shared" si="13"/>
        <v>1.5458333333333334E-2</v>
      </c>
      <c r="AJ6">
        <f t="shared" ref="AJ6:AJ33" si="29">AJ5</f>
        <v>33.333333333333329</v>
      </c>
      <c r="AK6">
        <f t="shared" si="14"/>
        <v>0.87020999999999993</v>
      </c>
      <c r="AL6">
        <f t="shared" si="15"/>
        <v>1.5346666666666666E-2</v>
      </c>
      <c r="AN6">
        <f t="shared" ref="AN6:AN33" si="30">AN5</f>
        <v>25</v>
      </c>
      <c r="AO6">
        <f t="shared" si="16"/>
        <v>0.87070249999999993</v>
      </c>
      <c r="AP6">
        <f t="shared" si="17"/>
        <v>1.5235E-2</v>
      </c>
      <c r="AR6">
        <f t="shared" ref="AR6:AR33" si="31">AR5</f>
        <v>16.666666666666671</v>
      </c>
      <c r="AS6">
        <f t="shared" si="18"/>
        <v>0.87119499999999994</v>
      </c>
      <c r="AT6">
        <f t="shared" si="19"/>
        <v>1.5123333333333334E-2</v>
      </c>
      <c r="AV6">
        <f t="shared" ref="AV6:AV33" si="32">AV5</f>
        <v>0</v>
      </c>
      <c r="AW6">
        <f t="shared" si="20"/>
        <v>0.87217999999999996</v>
      </c>
      <c r="AX6">
        <f t="shared" si="21"/>
        <v>1.49E-2</v>
      </c>
    </row>
    <row r="7" spans="1:50" x14ac:dyDescent="0.25">
      <c r="A7" s="37">
        <v>4</v>
      </c>
      <c r="B7" s="17">
        <v>0.78124000000000005</v>
      </c>
      <c r="C7" s="17">
        <v>2.8649999999999998E-2</v>
      </c>
      <c r="D7" s="15"/>
      <c r="E7" s="38">
        <v>0.78420000000000001</v>
      </c>
      <c r="F7" s="38">
        <v>2.3300000000000001E-2</v>
      </c>
      <c r="G7" s="11"/>
      <c r="H7">
        <f t="shared" si="22"/>
        <v>91.666666666666671</v>
      </c>
      <c r="I7">
        <f t="shared" si="0"/>
        <v>0.78148666666666666</v>
      </c>
      <c r="J7">
        <f t="shared" si="1"/>
        <v>2.8204166666666666E-2</v>
      </c>
      <c r="L7">
        <f t="shared" si="23"/>
        <v>83.333333333333329</v>
      </c>
      <c r="M7">
        <f t="shared" si="2"/>
        <v>0.78173333333333339</v>
      </c>
      <c r="N7">
        <f t="shared" si="3"/>
        <v>2.7758333333333333E-2</v>
      </c>
      <c r="P7">
        <f t="shared" si="24"/>
        <v>75</v>
      </c>
      <c r="Q7">
        <f t="shared" si="4"/>
        <v>0.78198000000000001</v>
      </c>
      <c r="R7">
        <f t="shared" si="5"/>
        <v>2.73125E-2</v>
      </c>
      <c r="T7">
        <f t="shared" si="25"/>
        <v>66.666666666666657</v>
      </c>
      <c r="U7">
        <f t="shared" si="6"/>
        <v>0.78222666666666674</v>
      </c>
      <c r="V7">
        <f t="shared" si="7"/>
        <v>2.6866666666666664E-2</v>
      </c>
      <c r="X7">
        <f t="shared" si="26"/>
        <v>58.333333333333336</v>
      </c>
      <c r="Y7">
        <f t="shared" si="8"/>
        <v>0.78247333333333335</v>
      </c>
      <c r="Z7">
        <f t="shared" si="9"/>
        <v>2.6420833333333331E-2</v>
      </c>
      <c r="AB7">
        <f t="shared" si="27"/>
        <v>50.000000000000007</v>
      </c>
      <c r="AC7">
        <f t="shared" si="10"/>
        <v>0.78271999999999997</v>
      </c>
      <c r="AD7">
        <f t="shared" si="11"/>
        <v>2.5975000000000002E-2</v>
      </c>
      <c r="AF7">
        <f t="shared" si="28"/>
        <v>41.666666666666679</v>
      </c>
      <c r="AG7">
        <f t="shared" si="12"/>
        <v>0.7829666666666667</v>
      </c>
      <c r="AH7">
        <f t="shared" si="13"/>
        <v>2.5529166666666665E-2</v>
      </c>
      <c r="AJ7">
        <f t="shared" si="29"/>
        <v>33.333333333333329</v>
      </c>
      <c r="AK7">
        <f t="shared" si="14"/>
        <v>0.78321333333333332</v>
      </c>
      <c r="AL7">
        <f t="shared" si="15"/>
        <v>2.5083333333333332E-2</v>
      </c>
      <c r="AN7">
        <f t="shared" si="30"/>
        <v>25</v>
      </c>
      <c r="AO7">
        <f t="shared" si="16"/>
        <v>0.78346000000000005</v>
      </c>
      <c r="AP7">
        <f t="shared" si="17"/>
        <v>2.46375E-2</v>
      </c>
      <c r="AR7">
        <f t="shared" si="31"/>
        <v>16.666666666666671</v>
      </c>
      <c r="AS7">
        <f t="shared" si="18"/>
        <v>0.78370666666666666</v>
      </c>
      <c r="AT7">
        <f t="shared" si="19"/>
        <v>2.4191666666666667E-2</v>
      </c>
      <c r="AV7">
        <f t="shared" si="32"/>
        <v>0</v>
      </c>
      <c r="AW7">
        <f t="shared" si="20"/>
        <v>0.78420000000000001</v>
      </c>
      <c r="AX7">
        <f t="shared" si="21"/>
        <v>2.3300000000000001E-2</v>
      </c>
    </row>
    <row r="8" spans="1:50" x14ac:dyDescent="0.25">
      <c r="A8" s="37">
        <v>5</v>
      </c>
      <c r="B8" s="17">
        <v>0.69625999999999999</v>
      </c>
      <c r="C8" s="17">
        <v>4.2659999999999997E-2</v>
      </c>
      <c r="D8" s="15"/>
      <c r="E8" s="38">
        <v>0.69613000000000003</v>
      </c>
      <c r="F8" s="38">
        <v>3.0849999999999999E-2</v>
      </c>
      <c r="G8" s="11"/>
      <c r="H8">
        <f t="shared" si="22"/>
        <v>91.666666666666671</v>
      </c>
      <c r="I8">
        <f t="shared" si="0"/>
        <v>0.6962491666666667</v>
      </c>
      <c r="J8">
        <f t="shared" si="1"/>
        <v>4.1675833333333329E-2</v>
      </c>
      <c r="L8">
        <f t="shared" si="23"/>
        <v>83.333333333333329</v>
      </c>
      <c r="M8">
        <f t="shared" si="2"/>
        <v>0.69623833333333329</v>
      </c>
      <c r="N8">
        <f t="shared" si="3"/>
        <v>4.0691666666666661E-2</v>
      </c>
      <c r="P8">
        <f t="shared" si="24"/>
        <v>75</v>
      </c>
      <c r="Q8">
        <f t="shared" si="4"/>
        <v>0.6962275</v>
      </c>
      <c r="R8">
        <f t="shared" si="5"/>
        <v>3.9707499999999993E-2</v>
      </c>
      <c r="T8">
        <f t="shared" si="25"/>
        <v>66.666666666666657</v>
      </c>
      <c r="U8">
        <f t="shared" si="6"/>
        <v>0.69621666666666671</v>
      </c>
      <c r="V8">
        <f t="shared" si="7"/>
        <v>3.8723333333333332E-2</v>
      </c>
      <c r="X8">
        <f t="shared" si="26"/>
        <v>58.333333333333336</v>
      </c>
      <c r="Y8">
        <f t="shared" si="8"/>
        <v>0.6962058333333333</v>
      </c>
      <c r="Z8">
        <f t="shared" si="9"/>
        <v>3.7739166666666664E-2</v>
      </c>
      <c r="AB8">
        <f t="shared" si="27"/>
        <v>50.000000000000007</v>
      </c>
      <c r="AC8">
        <f t="shared" si="10"/>
        <v>0.69619500000000001</v>
      </c>
      <c r="AD8">
        <f t="shared" si="11"/>
        <v>3.6754999999999996E-2</v>
      </c>
      <c r="AF8">
        <f t="shared" si="28"/>
        <v>41.666666666666679</v>
      </c>
      <c r="AG8">
        <f t="shared" si="12"/>
        <v>0.69618416666666671</v>
      </c>
      <c r="AH8">
        <f t="shared" si="13"/>
        <v>3.5770833333333335E-2</v>
      </c>
      <c r="AJ8">
        <f t="shared" si="29"/>
        <v>33.333333333333329</v>
      </c>
      <c r="AK8">
        <f t="shared" si="14"/>
        <v>0.69617333333333331</v>
      </c>
      <c r="AL8">
        <f t="shared" si="15"/>
        <v>3.4786666666666667E-2</v>
      </c>
      <c r="AN8">
        <f t="shared" si="30"/>
        <v>25</v>
      </c>
      <c r="AO8">
        <f t="shared" si="16"/>
        <v>0.69616250000000002</v>
      </c>
      <c r="AP8">
        <f t="shared" si="17"/>
        <v>3.3802499999999999E-2</v>
      </c>
      <c r="AR8">
        <f t="shared" si="31"/>
        <v>16.666666666666671</v>
      </c>
      <c r="AS8">
        <f t="shared" si="18"/>
        <v>0.69615166666666672</v>
      </c>
      <c r="AT8">
        <f t="shared" si="19"/>
        <v>3.2818333333333331E-2</v>
      </c>
      <c r="AV8">
        <f t="shared" si="32"/>
        <v>0</v>
      </c>
      <c r="AW8">
        <f t="shared" si="20"/>
        <v>0.69613000000000003</v>
      </c>
      <c r="AX8">
        <f t="shared" si="21"/>
        <v>3.0849999999999999E-2</v>
      </c>
    </row>
    <row r="9" spans="1:50" x14ac:dyDescent="0.25">
      <c r="A9" s="37">
        <v>6</v>
      </c>
      <c r="B9" s="17">
        <v>0.61146</v>
      </c>
      <c r="C9" s="17">
        <v>5.8369999999999998E-2</v>
      </c>
      <c r="D9" s="15"/>
      <c r="E9" s="38">
        <v>0.60809000000000002</v>
      </c>
      <c r="F9" s="38">
        <v>3.7470000000000003E-2</v>
      </c>
      <c r="G9" s="11"/>
      <c r="H9">
        <f t="shared" si="22"/>
        <v>91.666666666666671</v>
      </c>
      <c r="I9">
        <f t="shared" si="0"/>
        <v>0.61117916666666672</v>
      </c>
      <c r="J9">
        <f t="shared" si="1"/>
        <v>5.6628333333333336E-2</v>
      </c>
      <c r="L9">
        <f t="shared" si="23"/>
        <v>83.333333333333329</v>
      </c>
      <c r="M9">
        <f t="shared" si="2"/>
        <v>0.61089833333333332</v>
      </c>
      <c r="N9">
        <f t="shared" si="3"/>
        <v>5.4886666666666667E-2</v>
      </c>
      <c r="P9">
        <f t="shared" si="24"/>
        <v>75</v>
      </c>
      <c r="Q9">
        <f t="shared" si="4"/>
        <v>0.61061750000000004</v>
      </c>
      <c r="R9">
        <f t="shared" si="5"/>
        <v>5.3144999999999998E-2</v>
      </c>
      <c r="T9">
        <f t="shared" si="25"/>
        <v>66.666666666666657</v>
      </c>
      <c r="U9">
        <f t="shared" si="6"/>
        <v>0.61033666666666664</v>
      </c>
      <c r="V9">
        <f t="shared" si="7"/>
        <v>5.1403333333333329E-2</v>
      </c>
      <c r="X9">
        <f t="shared" si="26"/>
        <v>58.333333333333336</v>
      </c>
      <c r="Y9">
        <f t="shared" si="8"/>
        <v>0.61005583333333335</v>
      </c>
      <c r="Z9">
        <f t="shared" si="9"/>
        <v>4.9661666666666666E-2</v>
      </c>
      <c r="AB9">
        <f t="shared" si="27"/>
        <v>50.000000000000007</v>
      </c>
      <c r="AC9">
        <f t="shared" si="10"/>
        <v>0.60977500000000007</v>
      </c>
      <c r="AD9">
        <f t="shared" si="11"/>
        <v>4.7920000000000004E-2</v>
      </c>
      <c r="AF9">
        <f t="shared" si="28"/>
        <v>41.666666666666679</v>
      </c>
      <c r="AG9">
        <f t="shared" si="12"/>
        <v>0.60949416666666667</v>
      </c>
      <c r="AH9">
        <f t="shared" si="13"/>
        <v>4.6178333333333335E-2</v>
      </c>
      <c r="AJ9">
        <f t="shared" si="29"/>
        <v>33.333333333333329</v>
      </c>
      <c r="AK9">
        <f t="shared" si="14"/>
        <v>0.60921333333333338</v>
      </c>
      <c r="AL9">
        <f t="shared" si="15"/>
        <v>4.4436666666666666E-2</v>
      </c>
      <c r="AN9">
        <f t="shared" si="30"/>
        <v>25</v>
      </c>
      <c r="AO9">
        <f t="shared" si="16"/>
        <v>0.60893249999999999</v>
      </c>
      <c r="AP9">
        <f t="shared" si="17"/>
        <v>4.2695000000000004E-2</v>
      </c>
      <c r="AR9">
        <f t="shared" si="31"/>
        <v>16.666666666666671</v>
      </c>
      <c r="AS9">
        <f t="shared" si="18"/>
        <v>0.6086516666666667</v>
      </c>
      <c r="AT9">
        <f t="shared" si="19"/>
        <v>4.0953333333333335E-2</v>
      </c>
      <c r="AV9">
        <f t="shared" si="32"/>
        <v>0</v>
      </c>
      <c r="AW9">
        <f t="shared" si="20"/>
        <v>0.60809000000000002</v>
      </c>
      <c r="AX9">
        <f t="shared" si="21"/>
        <v>3.7470000000000003E-2</v>
      </c>
    </row>
    <row r="10" spans="1:50" x14ac:dyDescent="0.25">
      <c r="A10" s="37">
        <v>7</v>
      </c>
      <c r="B10" s="17">
        <v>0.52680000000000005</v>
      </c>
      <c r="C10" s="17">
        <v>7.4260000000000007E-2</v>
      </c>
      <c r="D10" s="15"/>
      <c r="E10" s="38">
        <v>0.52019000000000004</v>
      </c>
      <c r="F10" s="38">
        <v>4.3020000000000003E-2</v>
      </c>
      <c r="G10" s="11"/>
      <c r="H10">
        <f t="shared" si="22"/>
        <v>91.666666666666671</v>
      </c>
      <c r="I10">
        <f t="shared" si="0"/>
        <v>0.52624916666666666</v>
      </c>
      <c r="J10">
        <f t="shared" si="1"/>
        <v>7.1656666666666674E-2</v>
      </c>
      <c r="L10">
        <f t="shared" si="23"/>
        <v>83.333333333333329</v>
      </c>
      <c r="M10">
        <f t="shared" si="2"/>
        <v>0.52569833333333338</v>
      </c>
      <c r="N10">
        <f t="shared" si="3"/>
        <v>6.9053333333333342E-2</v>
      </c>
      <c r="P10">
        <f t="shared" si="24"/>
        <v>75</v>
      </c>
      <c r="Q10">
        <f t="shared" si="4"/>
        <v>0.5251475000000001</v>
      </c>
      <c r="R10">
        <f t="shared" si="5"/>
        <v>6.6450000000000009E-2</v>
      </c>
      <c r="T10">
        <f t="shared" si="25"/>
        <v>66.666666666666657</v>
      </c>
      <c r="U10">
        <f t="shared" si="6"/>
        <v>0.52459666666666671</v>
      </c>
      <c r="V10">
        <f t="shared" si="7"/>
        <v>6.3846666666666663E-2</v>
      </c>
      <c r="X10">
        <f t="shared" si="26"/>
        <v>58.333333333333336</v>
      </c>
      <c r="Y10">
        <f t="shared" si="8"/>
        <v>0.52404583333333332</v>
      </c>
      <c r="Z10">
        <f t="shared" si="9"/>
        <v>6.1243333333333337E-2</v>
      </c>
      <c r="AB10">
        <f t="shared" si="27"/>
        <v>50.000000000000007</v>
      </c>
      <c r="AC10">
        <f t="shared" si="10"/>
        <v>0.52349500000000004</v>
      </c>
      <c r="AD10">
        <f t="shared" si="11"/>
        <v>5.8640000000000012E-2</v>
      </c>
      <c r="AF10">
        <f t="shared" si="28"/>
        <v>41.666666666666679</v>
      </c>
      <c r="AG10">
        <f t="shared" si="12"/>
        <v>0.52294416666666677</v>
      </c>
      <c r="AH10">
        <f t="shared" si="13"/>
        <v>5.6036666666666672E-2</v>
      </c>
      <c r="AJ10">
        <f t="shared" si="29"/>
        <v>33.333333333333329</v>
      </c>
      <c r="AK10">
        <f t="shared" si="14"/>
        <v>0.52239333333333338</v>
      </c>
      <c r="AL10">
        <f t="shared" si="15"/>
        <v>5.3433333333333333E-2</v>
      </c>
      <c r="AN10">
        <f t="shared" si="30"/>
        <v>25</v>
      </c>
      <c r="AO10">
        <f t="shared" si="16"/>
        <v>0.52184249999999999</v>
      </c>
      <c r="AP10">
        <f t="shared" si="17"/>
        <v>5.083E-2</v>
      </c>
      <c r="AR10">
        <f t="shared" si="31"/>
        <v>16.666666666666671</v>
      </c>
      <c r="AS10">
        <f t="shared" si="18"/>
        <v>0.52129166666666671</v>
      </c>
      <c r="AT10">
        <f t="shared" si="19"/>
        <v>4.8226666666666668E-2</v>
      </c>
      <c r="AV10">
        <f t="shared" si="32"/>
        <v>0</v>
      </c>
      <c r="AW10">
        <f t="shared" si="20"/>
        <v>0.52019000000000004</v>
      </c>
      <c r="AX10">
        <f t="shared" si="21"/>
        <v>4.3020000000000003E-2</v>
      </c>
    </row>
    <row r="11" spans="1:50" x14ac:dyDescent="0.25">
      <c r="A11" s="37">
        <v>8</v>
      </c>
      <c r="B11" s="17">
        <v>0.44248999999999999</v>
      </c>
      <c r="C11" s="17">
        <v>8.7239999999999998E-2</v>
      </c>
      <c r="D11" s="15"/>
      <c r="E11" s="38">
        <v>0.43256</v>
      </c>
      <c r="F11" s="38">
        <v>4.7219999999999998E-2</v>
      </c>
      <c r="G11" s="11"/>
      <c r="H11">
        <f t="shared" si="22"/>
        <v>91.666666666666671</v>
      </c>
      <c r="I11">
        <f t="shared" si="0"/>
        <v>0.44166250000000001</v>
      </c>
      <c r="J11">
        <f t="shared" si="1"/>
        <v>8.3905000000000007E-2</v>
      </c>
      <c r="L11">
        <f t="shared" si="23"/>
        <v>83.333333333333329</v>
      </c>
      <c r="M11">
        <f t="shared" si="2"/>
        <v>0.44083499999999998</v>
      </c>
      <c r="N11">
        <f t="shared" si="3"/>
        <v>8.0570000000000003E-2</v>
      </c>
      <c r="P11">
        <f t="shared" si="24"/>
        <v>75</v>
      </c>
      <c r="Q11">
        <f t="shared" si="4"/>
        <v>0.4400075</v>
      </c>
      <c r="R11">
        <f t="shared" si="5"/>
        <v>7.7234999999999998E-2</v>
      </c>
      <c r="T11">
        <f t="shared" si="25"/>
        <v>66.666666666666657</v>
      </c>
      <c r="U11">
        <f t="shared" si="6"/>
        <v>0.43918000000000001</v>
      </c>
      <c r="V11">
        <f t="shared" si="7"/>
        <v>7.3899999999999993E-2</v>
      </c>
      <c r="X11">
        <f t="shared" si="26"/>
        <v>58.333333333333336</v>
      </c>
      <c r="Y11">
        <f t="shared" si="8"/>
        <v>0.43835249999999998</v>
      </c>
      <c r="Z11">
        <f t="shared" si="9"/>
        <v>7.0565000000000003E-2</v>
      </c>
      <c r="AB11">
        <f t="shared" si="27"/>
        <v>50.000000000000007</v>
      </c>
      <c r="AC11">
        <f t="shared" si="10"/>
        <v>0.437525</v>
      </c>
      <c r="AD11">
        <f t="shared" si="11"/>
        <v>6.7229999999999998E-2</v>
      </c>
      <c r="AF11">
        <f t="shared" si="28"/>
        <v>41.666666666666679</v>
      </c>
      <c r="AG11">
        <f t="shared" si="12"/>
        <v>0.43669750000000002</v>
      </c>
      <c r="AH11">
        <f t="shared" si="13"/>
        <v>6.3895000000000007E-2</v>
      </c>
      <c r="AJ11">
        <f t="shared" si="29"/>
        <v>33.333333333333329</v>
      </c>
      <c r="AK11">
        <f t="shared" si="14"/>
        <v>0.43586999999999998</v>
      </c>
      <c r="AL11">
        <f t="shared" si="15"/>
        <v>6.0559999999999996E-2</v>
      </c>
      <c r="AN11">
        <f t="shared" si="30"/>
        <v>25</v>
      </c>
      <c r="AO11">
        <f t="shared" si="16"/>
        <v>0.4350425</v>
      </c>
      <c r="AP11">
        <f t="shared" si="17"/>
        <v>5.7224999999999998E-2</v>
      </c>
      <c r="AR11">
        <f t="shared" si="31"/>
        <v>16.666666666666671</v>
      </c>
      <c r="AS11">
        <f t="shared" si="18"/>
        <v>0.43421500000000002</v>
      </c>
      <c r="AT11">
        <f t="shared" si="19"/>
        <v>5.389E-2</v>
      </c>
      <c r="AV11">
        <f t="shared" si="32"/>
        <v>0</v>
      </c>
      <c r="AW11">
        <f t="shared" si="20"/>
        <v>0.43256</v>
      </c>
      <c r="AX11">
        <f t="shared" si="21"/>
        <v>4.7219999999999998E-2</v>
      </c>
    </row>
    <row r="12" spans="1:50" x14ac:dyDescent="0.25">
      <c r="A12" s="37">
        <v>9</v>
      </c>
      <c r="B12" s="17">
        <v>0.35810999999999998</v>
      </c>
      <c r="C12" s="17">
        <v>9.597E-2</v>
      </c>
      <c r="D12" s="15"/>
      <c r="E12" s="38">
        <v>0.34539999999999998</v>
      </c>
      <c r="F12" s="38">
        <v>4.965E-2</v>
      </c>
      <c r="G12" s="11"/>
      <c r="H12">
        <f t="shared" si="22"/>
        <v>91.666666666666671</v>
      </c>
      <c r="I12">
        <f t="shared" si="0"/>
        <v>0.35705083333333332</v>
      </c>
      <c r="J12">
        <f t="shared" si="1"/>
        <v>9.2109999999999997E-2</v>
      </c>
      <c r="L12">
        <f t="shared" si="23"/>
        <v>83.333333333333329</v>
      </c>
      <c r="M12">
        <f t="shared" si="2"/>
        <v>0.35599166666666665</v>
      </c>
      <c r="N12">
        <f t="shared" si="3"/>
        <v>8.8249999999999995E-2</v>
      </c>
      <c r="P12">
        <f t="shared" si="24"/>
        <v>75</v>
      </c>
      <c r="Q12">
        <f t="shared" si="4"/>
        <v>0.35493249999999998</v>
      </c>
      <c r="R12">
        <f t="shared" si="5"/>
        <v>8.4389999999999993E-2</v>
      </c>
      <c r="T12">
        <f t="shared" si="25"/>
        <v>66.666666666666657</v>
      </c>
      <c r="U12">
        <f t="shared" si="6"/>
        <v>0.35387333333333332</v>
      </c>
      <c r="V12">
        <f t="shared" si="7"/>
        <v>8.052999999999999E-2</v>
      </c>
      <c r="X12">
        <f t="shared" si="26"/>
        <v>58.333333333333336</v>
      </c>
      <c r="Y12">
        <f t="shared" si="8"/>
        <v>0.35281416666666665</v>
      </c>
      <c r="Z12">
        <f t="shared" si="9"/>
        <v>7.6670000000000002E-2</v>
      </c>
      <c r="AB12">
        <f t="shared" si="27"/>
        <v>50.000000000000007</v>
      </c>
      <c r="AC12">
        <f t="shared" si="10"/>
        <v>0.35175499999999998</v>
      </c>
      <c r="AD12">
        <f t="shared" si="11"/>
        <v>7.281E-2</v>
      </c>
      <c r="AF12">
        <f t="shared" si="28"/>
        <v>41.666666666666679</v>
      </c>
      <c r="AG12">
        <f t="shared" si="12"/>
        <v>0.35069583333333332</v>
      </c>
      <c r="AH12">
        <f t="shared" si="13"/>
        <v>6.8950000000000011E-2</v>
      </c>
      <c r="AJ12">
        <f t="shared" si="29"/>
        <v>33.333333333333329</v>
      </c>
      <c r="AK12">
        <f t="shared" si="14"/>
        <v>0.34963666666666665</v>
      </c>
      <c r="AL12">
        <f t="shared" si="15"/>
        <v>6.5089999999999995E-2</v>
      </c>
      <c r="AN12">
        <f t="shared" si="30"/>
        <v>25</v>
      </c>
      <c r="AO12">
        <f t="shared" si="16"/>
        <v>0.34857749999999998</v>
      </c>
      <c r="AP12">
        <f t="shared" si="17"/>
        <v>6.123E-2</v>
      </c>
      <c r="AR12">
        <f t="shared" si="31"/>
        <v>16.666666666666671</v>
      </c>
      <c r="AS12">
        <f t="shared" si="18"/>
        <v>0.34751833333333332</v>
      </c>
      <c r="AT12">
        <f t="shared" si="19"/>
        <v>5.7370000000000004E-2</v>
      </c>
      <c r="AV12">
        <f t="shared" si="32"/>
        <v>0</v>
      </c>
      <c r="AW12">
        <f t="shared" si="20"/>
        <v>0.34539999999999998</v>
      </c>
      <c r="AX12">
        <f t="shared" si="21"/>
        <v>4.965E-2</v>
      </c>
    </row>
    <row r="13" spans="1:50" x14ac:dyDescent="0.25">
      <c r="A13" s="37">
        <v>10</v>
      </c>
      <c r="B13" s="17">
        <v>0.27444000000000002</v>
      </c>
      <c r="C13" s="17">
        <v>9.7790000000000002E-2</v>
      </c>
      <c r="D13" s="15"/>
      <c r="E13" s="38">
        <v>0.25903999999999999</v>
      </c>
      <c r="F13" s="38">
        <v>4.9680000000000002E-2</v>
      </c>
      <c r="G13" s="11"/>
      <c r="H13">
        <f t="shared" si="22"/>
        <v>91.666666666666671</v>
      </c>
      <c r="I13">
        <f t="shared" si="0"/>
        <v>0.27315666666666666</v>
      </c>
      <c r="J13">
        <f t="shared" si="1"/>
        <v>9.3780833333333341E-2</v>
      </c>
      <c r="L13">
        <f t="shared" si="23"/>
        <v>83.333333333333329</v>
      </c>
      <c r="M13">
        <f t="shared" si="2"/>
        <v>0.27187333333333336</v>
      </c>
      <c r="N13">
        <f t="shared" si="3"/>
        <v>8.9771666666666666E-2</v>
      </c>
      <c r="P13">
        <f t="shared" si="24"/>
        <v>75</v>
      </c>
      <c r="Q13">
        <f t="shared" si="4"/>
        <v>0.27059</v>
      </c>
      <c r="R13">
        <f t="shared" si="5"/>
        <v>8.5762499999999992E-2</v>
      </c>
      <c r="T13">
        <f t="shared" si="25"/>
        <v>66.666666666666657</v>
      </c>
      <c r="U13">
        <f t="shared" si="6"/>
        <v>0.26930666666666669</v>
      </c>
      <c r="V13">
        <f t="shared" si="7"/>
        <v>8.1753333333333331E-2</v>
      </c>
      <c r="X13">
        <f t="shared" si="26"/>
        <v>58.333333333333336</v>
      </c>
      <c r="Y13">
        <f t="shared" si="8"/>
        <v>0.26802333333333334</v>
      </c>
      <c r="Z13">
        <f t="shared" si="9"/>
        <v>7.774416666666667E-2</v>
      </c>
      <c r="AB13">
        <f t="shared" si="27"/>
        <v>50.000000000000007</v>
      </c>
      <c r="AC13">
        <f t="shared" si="10"/>
        <v>0.26674000000000003</v>
      </c>
      <c r="AD13">
        <f t="shared" si="11"/>
        <v>7.3735000000000009E-2</v>
      </c>
      <c r="AF13">
        <f t="shared" si="28"/>
        <v>41.666666666666679</v>
      </c>
      <c r="AG13">
        <f t="shared" si="12"/>
        <v>0.26545666666666667</v>
      </c>
      <c r="AH13">
        <f t="shared" si="13"/>
        <v>6.9725833333333348E-2</v>
      </c>
      <c r="AJ13">
        <f t="shared" si="29"/>
        <v>33.333333333333329</v>
      </c>
      <c r="AK13">
        <f t="shared" si="14"/>
        <v>0.26417333333333332</v>
      </c>
      <c r="AL13">
        <f t="shared" si="15"/>
        <v>6.5716666666666673E-2</v>
      </c>
      <c r="AN13">
        <f t="shared" si="30"/>
        <v>25</v>
      </c>
      <c r="AO13">
        <f t="shared" si="16"/>
        <v>0.26289000000000001</v>
      </c>
      <c r="AP13">
        <f t="shared" si="17"/>
        <v>6.1707499999999998E-2</v>
      </c>
      <c r="AR13">
        <f t="shared" si="31"/>
        <v>16.666666666666671</v>
      </c>
      <c r="AS13">
        <f t="shared" si="18"/>
        <v>0.26160666666666665</v>
      </c>
      <c r="AT13">
        <f t="shared" si="19"/>
        <v>5.7698333333333338E-2</v>
      </c>
      <c r="AV13">
        <f t="shared" si="32"/>
        <v>0</v>
      </c>
      <c r="AW13">
        <f t="shared" si="20"/>
        <v>0.25903999999999999</v>
      </c>
      <c r="AX13">
        <f t="shared" si="21"/>
        <v>4.9680000000000002E-2</v>
      </c>
    </row>
    <row r="14" spans="1:50" x14ac:dyDescent="0.25">
      <c r="A14" s="37">
        <v>11</v>
      </c>
      <c r="B14" s="17">
        <v>0.19114999999999999</v>
      </c>
      <c r="C14" s="17">
        <v>9.2439999999999994E-2</v>
      </c>
      <c r="D14" s="15"/>
      <c r="E14" s="38">
        <v>0.17424999999999999</v>
      </c>
      <c r="F14" s="38">
        <v>4.6359999999999998E-2</v>
      </c>
      <c r="G14" s="11"/>
      <c r="H14">
        <f t="shared" si="22"/>
        <v>91.666666666666671</v>
      </c>
      <c r="I14">
        <f t="shared" si="0"/>
        <v>0.18974166666666664</v>
      </c>
      <c r="J14">
        <f t="shared" si="1"/>
        <v>8.8599999999999998E-2</v>
      </c>
      <c r="L14">
        <f t="shared" si="23"/>
        <v>83.333333333333329</v>
      </c>
      <c r="M14">
        <f t="shared" si="2"/>
        <v>0.18833333333333332</v>
      </c>
      <c r="N14">
        <f t="shared" si="3"/>
        <v>8.4760000000000002E-2</v>
      </c>
      <c r="P14">
        <f t="shared" si="24"/>
        <v>75</v>
      </c>
      <c r="Q14">
        <f t="shared" si="4"/>
        <v>0.18692499999999998</v>
      </c>
      <c r="R14">
        <f t="shared" si="5"/>
        <v>8.0919999999999992E-2</v>
      </c>
      <c r="T14">
        <f t="shared" si="25"/>
        <v>66.666666666666657</v>
      </c>
      <c r="U14">
        <f t="shared" si="6"/>
        <v>0.18551666666666666</v>
      </c>
      <c r="V14">
        <f t="shared" si="7"/>
        <v>7.7079999999999982E-2</v>
      </c>
      <c r="X14">
        <f t="shared" si="26"/>
        <v>58.333333333333336</v>
      </c>
      <c r="Y14">
        <f t="shared" si="8"/>
        <v>0.18410833333333332</v>
      </c>
      <c r="Z14">
        <f t="shared" si="9"/>
        <v>7.324E-2</v>
      </c>
      <c r="AB14">
        <f t="shared" si="27"/>
        <v>50.000000000000007</v>
      </c>
      <c r="AC14">
        <f t="shared" si="10"/>
        <v>0.1827</v>
      </c>
      <c r="AD14">
        <f t="shared" si="11"/>
        <v>6.9400000000000003E-2</v>
      </c>
      <c r="AF14">
        <f t="shared" si="28"/>
        <v>41.666666666666679</v>
      </c>
      <c r="AG14">
        <f t="shared" si="12"/>
        <v>0.18129166666666666</v>
      </c>
      <c r="AH14">
        <f t="shared" si="13"/>
        <v>6.5560000000000007E-2</v>
      </c>
      <c r="AJ14">
        <f t="shared" si="29"/>
        <v>33.333333333333329</v>
      </c>
      <c r="AK14">
        <f t="shared" si="14"/>
        <v>0.17988333333333331</v>
      </c>
      <c r="AL14">
        <f t="shared" si="15"/>
        <v>6.1719999999999997E-2</v>
      </c>
      <c r="AN14">
        <f t="shared" si="30"/>
        <v>25</v>
      </c>
      <c r="AO14">
        <f t="shared" si="16"/>
        <v>0.17847499999999999</v>
      </c>
      <c r="AP14">
        <f t="shared" si="17"/>
        <v>5.7880000000000001E-2</v>
      </c>
      <c r="AR14">
        <f t="shared" si="31"/>
        <v>16.666666666666671</v>
      </c>
      <c r="AS14">
        <f t="shared" si="18"/>
        <v>0.17706666666666665</v>
      </c>
      <c r="AT14">
        <f t="shared" si="19"/>
        <v>5.4039999999999998E-2</v>
      </c>
      <c r="AV14">
        <f t="shared" si="32"/>
        <v>0</v>
      </c>
      <c r="AW14">
        <f t="shared" si="20"/>
        <v>0.17424999999999999</v>
      </c>
      <c r="AX14">
        <f t="shared" si="21"/>
        <v>4.6359999999999998E-2</v>
      </c>
    </row>
    <row r="15" spans="1:50" x14ac:dyDescent="0.25">
      <c r="A15" s="37">
        <v>12</v>
      </c>
      <c r="B15" s="17">
        <v>0.11174000000000001</v>
      </c>
      <c r="C15" s="17">
        <v>7.5749999999999998E-2</v>
      </c>
      <c r="D15" s="15"/>
      <c r="E15" s="38">
        <v>9.3899999999999997E-2</v>
      </c>
      <c r="F15" s="38">
        <v>3.814E-2</v>
      </c>
      <c r="G15" s="11"/>
      <c r="H15">
        <f t="shared" si="22"/>
        <v>91.666666666666671</v>
      </c>
      <c r="I15">
        <f t="shared" si="0"/>
        <v>0.11025333333333334</v>
      </c>
      <c r="J15">
        <f t="shared" si="1"/>
        <v>7.2615833333333324E-2</v>
      </c>
      <c r="L15">
        <f t="shared" si="23"/>
        <v>83.333333333333329</v>
      </c>
      <c r="M15">
        <f t="shared" si="2"/>
        <v>0.10876666666666666</v>
      </c>
      <c r="N15">
        <f t="shared" si="3"/>
        <v>6.9481666666666664E-2</v>
      </c>
      <c r="P15">
        <f t="shared" si="24"/>
        <v>75</v>
      </c>
      <c r="Q15">
        <f t="shared" si="4"/>
        <v>0.10728</v>
      </c>
      <c r="R15">
        <f t="shared" si="5"/>
        <v>6.6347500000000004E-2</v>
      </c>
      <c r="T15">
        <f t="shared" si="25"/>
        <v>66.666666666666657</v>
      </c>
      <c r="U15">
        <f t="shared" si="6"/>
        <v>0.10579333333333334</v>
      </c>
      <c r="V15">
        <f t="shared" si="7"/>
        <v>6.321333333333333E-2</v>
      </c>
      <c r="X15">
        <f t="shared" si="26"/>
        <v>58.333333333333336</v>
      </c>
      <c r="Y15">
        <f t="shared" si="8"/>
        <v>0.10430666666666667</v>
      </c>
      <c r="Z15">
        <f t="shared" si="9"/>
        <v>6.007916666666667E-2</v>
      </c>
      <c r="AB15">
        <f t="shared" si="27"/>
        <v>50.000000000000007</v>
      </c>
      <c r="AC15">
        <f t="shared" si="10"/>
        <v>0.10282000000000001</v>
      </c>
      <c r="AD15">
        <f t="shared" si="11"/>
        <v>5.6945000000000003E-2</v>
      </c>
      <c r="AF15">
        <f t="shared" si="28"/>
        <v>41.666666666666679</v>
      </c>
      <c r="AG15">
        <f t="shared" si="12"/>
        <v>0.10133333333333333</v>
      </c>
      <c r="AH15">
        <f t="shared" si="13"/>
        <v>5.3810833333333336E-2</v>
      </c>
      <c r="AJ15">
        <f t="shared" si="29"/>
        <v>33.333333333333329</v>
      </c>
      <c r="AK15">
        <f t="shared" si="14"/>
        <v>9.9846666666666667E-2</v>
      </c>
      <c r="AL15">
        <f t="shared" si="15"/>
        <v>5.0676666666666662E-2</v>
      </c>
      <c r="AN15">
        <f t="shared" si="30"/>
        <v>25</v>
      </c>
      <c r="AO15">
        <f t="shared" si="16"/>
        <v>9.8360000000000003E-2</v>
      </c>
      <c r="AP15">
        <f t="shared" si="17"/>
        <v>4.7542500000000001E-2</v>
      </c>
      <c r="AR15">
        <f t="shared" si="31"/>
        <v>16.666666666666671</v>
      </c>
      <c r="AS15">
        <f t="shared" si="18"/>
        <v>9.6873333333333339E-2</v>
      </c>
      <c r="AT15">
        <f t="shared" si="19"/>
        <v>4.4408333333333334E-2</v>
      </c>
      <c r="AV15">
        <f t="shared" si="32"/>
        <v>0</v>
      </c>
      <c r="AW15">
        <f t="shared" si="20"/>
        <v>9.3899999999999997E-2</v>
      </c>
      <c r="AX15">
        <f t="shared" si="21"/>
        <v>3.814E-2</v>
      </c>
    </row>
    <row r="16" spans="1:50" x14ac:dyDescent="0.25">
      <c r="A16" s="37">
        <v>13</v>
      </c>
      <c r="B16" s="17">
        <v>4.2939999999999999E-2</v>
      </c>
      <c r="C16" s="17">
        <v>4.8120000000000003E-2</v>
      </c>
      <c r="D16" s="15"/>
      <c r="E16" s="38">
        <v>3.5589999999999997E-2</v>
      </c>
      <c r="F16" s="38">
        <v>2.555E-2</v>
      </c>
      <c r="G16" s="11"/>
      <c r="H16">
        <f t="shared" si="22"/>
        <v>91.666666666666671</v>
      </c>
      <c r="I16">
        <f t="shared" si="0"/>
        <v>4.2327499999999997E-2</v>
      </c>
      <c r="J16">
        <f t="shared" si="1"/>
        <v>4.6239166666666665E-2</v>
      </c>
      <c r="L16">
        <f t="shared" si="23"/>
        <v>83.333333333333329</v>
      </c>
      <c r="M16">
        <f t="shared" si="2"/>
        <v>4.1715000000000002E-2</v>
      </c>
      <c r="N16">
        <f t="shared" si="3"/>
        <v>4.4358333333333333E-2</v>
      </c>
      <c r="P16">
        <f t="shared" si="24"/>
        <v>75</v>
      </c>
      <c r="Q16">
        <f t="shared" si="4"/>
        <v>4.11025E-2</v>
      </c>
      <c r="R16">
        <f t="shared" si="5"/>
        <v>4.2477500000000001E-2</v>
      </c>
      <c r="T16">
        <f t="shared" si="25"/>
        <v>66.666666666666657</v>
      </c>
      <c r="U16">
        <f t="shared" si="6"/>
        <v>4.0489999999999998E-2</v>
      </c>
      <c r="V16">
        <f t="shared" si="7"/>
        <v>4.059666666666667E-2</v>
      </c>
      <c r="X16">
        <f t="shared" si="26"/>
        <v>58.333333333333336</v>
      </c>
      <c r="Y16">
        <f t="shared" si="8"/>
        <v>3.9877499999999996E-2</v>
      </c>
      <c r="Z16">
        <f t="shared" si="9"/>
        <v>3.8715833333333338E-2</v>
      </c>
      <c r="AB16">
        <f t="shared" si="27"/>
        <v>50.000000000000007</v>
      </c>
      <c r="AC16">
        <f t="shared" si="10"/>
        <v>3.9265000000000001E-2</v>
      </c>
      <c r="AD16">
        <f t="shared" si="11"/>
        <v>3.6835000000000007E-2</v>
      </c>
      <c r="AF16">
        <f t="shared" si="28"/>
        <v>41.666666666666679</v>
      </c>
      <c r="AG16">
        <f t="shared" si="12"/>
        <v>3.8652499999999999E-2</v>
      </c>
      <c r="AH16">
        <f t="shared" si="13"/>
        <v>3.4954166666666675E-2</v>
      </c>
      <c r="AJ16">
        <f t="shared" si="29"/>
        <v>33.333333333333329</v>
      </c>
      <c r="AK16">
        <f t="shared" si="14"/>
        <v>3.8039999999999997E-2</v>
      </c>
      <c r="AL16">
        <f t="shared" si="15"/>
        <v>3.307333333333333E-2</v>
      </c>
      <c r="AN16">
        <f t="shared" si="30"/>
        <v>25</v>
      </c>
      <c r="AO16">
        <f t="shared" si="16"/>
        <v>3.7427499999999995E-2</v>
      </c>
      <c r="AP16">
        <f t="shared" si="17"/>
        <v>3.1192499999999998E-2</v>
      </c>
      <c r="AR16">
        <f t="shared" si="31"/>
        <v>16.666666666666671</v>
      </c>
      <c r="AS16">
        <f t="shared" si="18"/>
        <v>3.6815000000000001E-2</v>
      </c>
      <c r="AT16">
        <f t="shared" si="19"/>
        <v>2.9311666666666666E-2</v>
      </c>
      <c r="AV16">
        <f t="shared" si="32"/>
        <v>0</v>
      </c>
      <c r="AW16">
        <f t="shared" si="20"/>
        <v>3.5589999999999997E-2</v>
      </c>
      <c r="AX16">
        <f t="shared" si="21"/>
        <v>2.555E-2</v>
      </c>
    </row>
    <row r="17" spans="1:50" x14ac:dyDescent="0.25">
      <c r="A17" s="37">
        <v>14</v>
      </c>
      <c r="B17" s="17">
        <v>1.106E-2</v>
      </c>
      <c r="C17" s="17">
        <v>2.2919999999999999E-2</v>
      </c>
      <c r="D17" s="15"/>
      <c r="E17" s="38">
        <v>1.077E-2</v>
      </c>
      <c r="F17" s="38">
        <v>1.4710000000000001E-2</v>
      </c>
      <c r="G17" s="11"/>
      <c r="H17">
        <f t="shared" si="22"/>
        <v>91.666666666666671</v>
      </c>
      <c r="I17">
        <f t="shared" si="0"/>
        <v>1.1035833333333333E-2</v>
      </c>
      <c r="J17">
        <f t="shared" si="1"/>
        <v>2.2235833333333333E-2</v>
      </c>
      <c r="L17">
        <f t="shared" si="23"/>
        <v>83.333333333333329</v>
      </c>
      <c r="M17">
        <f t="shared" si="2"/>
        <v>1.1011666666666666E-2</v>
      </c>
      <c r="N17">
        <f t="shared" si="3"/>
        <v>2.1551666666666667E-2</v>
      </c>
      <c r="P17">
        <f t="shared" si="24"/>
        <v>75</v>
      </c>
      <c r="Q17">
        <f t="shared" si="4"/>
        <v>1.0987500000000001E-2</v>
      </c>
      <c r="R17">
        <f t="shared" si="5"/>
        <v>2.0867500000000001E-2</v>
      </c>
      <c r="T17">
        <f t="shared" si="25"/>
        <v>66.666666666666657</v>
      </c>
      <c r="U17">
        <f t="shared" si="6"/>
        <v>1.0963333333333334E-2</v>
      </c>
      <c r="V17">
        <f t="shared" si="7"/>
        <v>2.0183333333333331E-2</v>
      </c>
      <c r="X17">
        <f t="shared" si="26"/>
        <v>58.333333333333336</v>
      </c>
      <c r="Y17">
        <f t="shared" si="8"/>
        <v>1.0939166666666666E-2</v>
      </c>
      <c r="Z17">
        <f t="shared" si="9"/>
        <v>1.9499166666666668E-2</v>
      </c>
      <c r="AB17">
        <f t="shared" si="27"/>
        <v>50.000000000000007</v>
      </c>
      <c r="AC17">
        <f t="shared" si="10"/>
        <v>1.0915000000000001E-2</v>
      </c>
      <c r="AD17">
        <f t="shared" si="11"/>
        <v>1.8815000000000002E-2</v>
      </c>
      <c r="AF17">
        <f t="shared" si="28"/>
        <v>41.666666666666679</v>
      </c>
      <c r="AG17">
        <f t="shared" si="12"/>
        <v>1.0890833333333334E-2</v>
      </c>
      <c r="AH17">
        <f t="shared" si="13"/>
        <v>1.8130833333333336E-2</v>
      </c>
      <c r="AJ17">
        <f t="shared" si="29"/>
        <v>33.333333333333329</v>
      </c>
      <c r="AK17">
        <f t="shared" si="14"/>
        <v>1.0866666666666667E-2</v>
      </c>
      <c r="AL17">
        <f t="shared" si="15"/>
        <v>1.7446666666666666E-2</v>
      </c>
      <c r="AN17">
        <f t="shared" si="30"/>
        <v>25</v>
      </c>
      <c r="AO17">
        <f t="shared" si="16"/>
        <v>1.08425E-2</v>
      </c>
      <c r="AP17">
        <f t="shared" si="17"/>
        <v>1.67625E-2</v>
      </c>
      <c r="AR17">
        <f t="shared" si="31"/>
        <v>16.666666666666671</v>
      </c>
      <c r="AS17">
        <f t="shared" si="18"/>
        <v>1.0818333333333334E-2</v>
      </c>
      <c r="AT17">
        <f t="shared" si="19"/>
        <v>1.6078333333333333E-2</v>
      </c>
      <c r="AV17">
        <f t="shared" si="32"/>
        <v>0</v>
      </c>
      <c r="AW17">
        <f t="shared" si="20"/>
        <v>1.077E-2</v>
      </c>
      <c r="AX17">
        <f t="shared" si="21"/>
        <v>1.4710000000000001E-2</v>
      </c>
    </row>
    <row r="18" spans="1:50" x14ac:dyDescent="0.25">
      <c r="A18" s="37">
        <v>15</v>
      </c>
      <c r="B18" s="17">
        <v>1.2999999999999999E-3</v>
      </c>
      <c r="C18" s="17">
        <v>8.5199999999999998E-3</v>
      </c>
      <c r="D18" s="15"/>
      <c r="E18" s="38">
        <v>1.1199999999999999E-3</v>
      </c>
      <c r="F18" s="38">
        <v>4.8999999999999998E-3</v>
      </c>
      <c r="G18" s="11"/>
      <c r="H18">
        <f t="shared" si="22"/>
        <v>91.666666666666671</v>
      </c>
      <c r="I18">
        <f t="shared" si="0"/>
        <v>1.2849999999999999E-3</v>
      </c>
      <c r="J18">
        <f t="shared" si="1"/>
        <v>8.2183333333333344E-3</v>
      </c>
      <c r="L18">
        <f t="shared" si="23"/>
        <v>83.333333333333329</v>
      </c>
      <c r="M18">
        <f t="shared" si="2"/>
        <v>1.2699999999999999E-3</v>
      </c>
      <c r="N18">
        <f t="shared" si="3"/>
        <v>7.9166666666666656E-3</v>
      </c>
      <c r="P18">
        <f t="shared" si="24"/>
        <v>75</v>
      </c>
      <c r="Q18">
        <f t="shared" si="4"/>
        <v>1.255E-3</v>
      </c>
      <c r="R18">
        <f t="shared" si="5"/>
        <v>7.6150000000000002E-3</v>
      </c>
      <c r="T18">
        <f t="shared" si="25"/>
        <v>66.666666666666657</v>
      </c>
      <c r="U18">
        <f t="shared" si="6"/>
        <v>1.24E-3</v>
      </c>
      <c r="V18">
        <f t="shared" si="7"/>
        <v>7.3133333333333331E-3</v>
      </c>
      <c r="X18">
        <f t="shared" si="26"/>
        <v>58.333333333333336</v>
      </c>
      <c r="Y18">
        <f t="shared" si="8"/>
        <v>1.225E-3</v>
      </c>
      <c r="Z18">
        <f t="shared" si="9"/>
        <v>7.011666666666666E-3</v>
      </c>
      <c r="AB18">
        <f t="shared" si="27"/>
        <v>50.000000000000007</v>
      </c>
      <c r="AC18">
        <f t="shared" si="10"/>
        <v>1.2099999999999999E-3</v>
      </c>
      <c r="AD18">
        <f t="shared" si="11"/>
        <v>6.7099999999999998E-3</v>
      </c>
      <c r="AF18">
        <f t="shared" si="28"/>
        <v>41.666666666666679</v>
      </c>
      <c r="AG18">
        <f t="shared" si="12"/>
        <v>1.1949999999999999E-3</v>
      </c>
      <c r="AH18">
        <f t="shared" si="13"/>
        <v>6.4083333333333336E-3</v>
      </c>
      <c r="AJ18">
        <f t="shared" si="29"/>
        <v>33.333333333333329</v>
      </c>
      <c r="AK18">
        <f t="shared" si="14"/>
        <v>1.1799999999999998E-3</v>
      </c>
      <c r="AL18">
        <f t="shared" si="15"/>
        <v>6.1066666666666665E-3</v>
      </c>
      <c r="AN18">
        <f t="shared" si="30"/>
        <v>25</v>
      </c>
      <c r="AO18">
        <f t="shared" si="16"/>
        <v>1.1649999999999998E-3</v>
      </c>
      <c r="AP18">
        <f t="shared" si="17"/>
        <v>5.8049999999999994E-3</v>
      </c>
      <c r="AR18">
        <f t="shared" si="31"/>
        <v>16.666666666666671</v>
      </c>
      <c r="AS18">
        <f t="shared" si="18"/>
        <v>1.15E-3</v>
      </c>
      <c r="AT18">
        <f t="shared" si="19"/>
        <v>5.5033333333333332E-3</v>
      </c>
      <c r="AV18">
        <f t="shared" si="32"/>
        <v>0</v>
      </c>
      <c r="AW18">
        <f t="shared" si="20"/>
        <v>1.1199999999999999E-3</v>
      </c>
      <c r="AX18">
        <f t="shared" si="21"/>
        <v>4.8999999999999998E-3</v>
      </c>
    </row>
    <row r="19" spans="1:50" x14ac:dyDescent="0.25">
      <c r="A19" s="37">
        <v>16</v>
      </c>
      <c r="B19" s="17">
        <v>3.2000000000000003E-4</v>
      </c>
      <c r="C19" s="17">
        <v>-1.5399999999999999E-3</v>
      </c>
      <c r="D19" s="15"/>
      <c r="E19" s="38">
        <v>1.1199999999999999E-3</v>
      </c>
      <c r="F19" s="38">
        <v>-4.8999999999999998E-3</v>
      </c>
      <c r="G19" s="11"/>
      <c r="H19">
        <f t="shared" si="22"/>
        <v>91.666666666666671</v>
      </c>
      <c r="I19">
        <f t="shared" si="0"/>
        <v>3.8666666666666656E-4</v>
      </c>
      <c r="J19">
        <f t="shared" si="1"/>
        <v>-1.8199999999999991E-3</v>
      </c>
      <c r="L19">
        <f t="shared" si="23"/>
        <v>83.333333333333329</v>
      </c>
      <c r="M19">
        <f t="shared" si="2"/>
        <v>4.5333333333333337E-4</v>
      </c>
      <c r="N19">
        <f t="shared" si="3"/>
        <v>-2.1000000000000003E-3</v>
      </c>
      <c r="P19">
        <f t="shared" si="24"/>
        <v>75</v>
      </c>
      <c r="Q19">
        <f t="shared" si="4"/>
        <v>5.1999999999999995E-4</v>
      </c>
      <c r="R19">
        <f t="shared" si="5"/>
        <v>-2.3799999999999997E-3</v>
      </c>
      <c r="T19">
        <f t="shared" si="25"/>
        <v>66.666666666666657</v>
      </c>
      <c r="U19">
        <f t="shared" si="6"/>
        <v>5.8666666666666665E-4</v>
      </c>
      <c r="V19">
        <f t="shared" si="7"/>
        <v>-2.66E-3</v>
      </c>
      <c r="X19">
        <f t="shared" si="26"/>
        <v>58.333333333333336</v>
      </c>
      <c r="Y19">
        <f t="shared" si="8"/>
        <v>6.5333333333333324E-4</v>
      </c>
      <c r="Z19">
        <f t="shared" si="9"/>
        <v>-2.9399999999999999E-3</v>
      </c>
      <c r="AB19">
        <f t="shared" si="27"/>
        <v>50.000000000000007</v>
      </c>
      <c r="AC19">
        <f t="shared" si="10"/>
        <v>7.1999999999999994E-4</v>
      </c>
      <c r="AD19">
        <f t="shared" si="11"/>
        <v>-3.2199999999999998E-3</v>
      </c>
      <c r="AF19">
        <f t="shared" si="28"/>
        <v>41.666666666666679</v>
      </c>
      <c r="AG19">
        <f t="shared" si="12"/>
        <v>7.8666666666666653E-4</v>
      </c>
      <c r="AH19">
        <f t="shared" si="13"/>
        <v>-3.4999999999999996E-3</v>
      </c>
      <c r="AJ19">
        <f t="shared" si="29"/>
        <v>33.333333333333329</v>
      </c>
      <c r="AK19">
        <f t="shared" si="14"/>
        <v>8.5333333333333333E-4</v>
      </c>
      <c r="AL19">
        <f t="shared" si="15"/>
        <v>-3.7799999999999999E-3</v>
      </c>
      <c r="AN19">
        <f t="shared" si="30"/>
        <v>25</v>
      </c>
      <c r="AO19">
        <f t="shared" si="16"/>
        <v>9.1999999999999992E-4</v>
      </c>
      <c r="AP19">
        <f t="shared" si="17"/>
        <v>-4.0599999999999994E-3</v>
      </c>
      <c r="AR19">
        <f t="shared" si="31"/>
        <v>16.666666666666671</v>
      </c>
      <c r="AS19">
        <f t="shared" si="18"/>
        <v>9.8666666666666651E-4</v>
      </c>
      <c r="AT19">
        <f t="shared" si="19"/>
        <v>-4.3400000000000001E-3</v>
      </c>
      <c r="AV19">
        <f t="shared" si="32"/>
        <v>0</v>
      </c>
      <c r="AW19">
        <f t="shared" si="20"/>
        <v>1.1199999999999999E-3</v>
      </c>
      <c r="AX19">
        <f t="shared" si="21"/>
        <v>-4.8999999999999998E-3</v>
      </c>
    </row>
    <row r="20" spans="1:50" x14ac:dyDescent="0.25">
      <c r="A20" s="37">
        <v>17</v>
      </c>
      <c r="B20" s="17">
        <v>7.6600000000000001E-3</v>
      </c>
      <c r="C20" s="17">
        <v>-1.282E-2</v>
      </c>
      <c r="D20" s="15"/>
      <c r="E20" s="38">
        <v>1.077E-2</v>
      </c>
      <c r="F20" s="38">
        <v>-1.4710000000000001E-2</v>
      </c>
      <c r="G20" s="11"/>
      <c r="H20">
        <f t="shared" si="22"/>
        <v>91.666666666666671</v>
      </c>
      <c r="I20">
        <f t="shared" si="0"/>
        <v>7.9191666666666664E-3</v>
      </c>
      <c r="J20">
        <f t="shared" si="1"/>
        <v>-1.2977499999999999E-2</v>
      </c>
      <c r="L20">
        <f t="shared" si="23"/>
        <v>83.333333333333329</v>
      </c>
      <c r="M20">
        <f t="shared" si="2"/>
        <v>8.1783333333333326E-3</v>
      </c>
      <c r="N20">
        <f t="shared" si="3"/>
        <v>-1.3135000000000001E-2</v>
      </c>
      <c r="P20">
        <f t="shared" si="24"/>
        <v>75</v>
      </c>
      <c r="Q20">
        <f t="shared" si="4"/>
        <v>8.4375000000000006E-3</v>
      </c>
      <c r="R20">
        <f t="shared" si="5"/>
        <v>-1.32925E-2</v>
      </c>
      <c r="T20">
        <f t="shared" si="25"/>
        <v>66.666666666666657</v>
      </c>
      <c r="U20">
        <f t="shared" si="6"/>
        <v>8.6966666666666668E-3</v>
      </c>
      <c r="V20">
        <f t="shared" si="7"/>
        <v>-1.345E-2</v>
      </c>
      <c r="X20">
        <f t="shared" si="26"/>
        <v>58.333333333333336</v>
      </c>
      <c r="Y20">
        <f t="shared" si="8"/>
        <v>8.955833333333333E-3</v>
      </c>
      <c r="Z20">
        <f t="shared" si="9"/>
        <v>-1.36075E-2</v>
      </c>
      <c r="AB20">
        <f t="shared" si="27"/>
        <v>50.000000000000007</v>
      </c>
      <c r="AC20">
        <f t="shared" si="10"/>
        <v>9.2149999999999992E-3</v>
      </c>
      <c r="AD20">
        <f t="shared" si="11"/>
        <v>-1.3764999999999999E-2</v>
      </c>
      <c r="AF20">
        <f t="shared" si="28"/>
        <v>41.666666666666679</v>
      </c>
      <c r="AG20">
        <f t="shared" si="12"/>
        <v>9.4741666666666672E-3</v>
      </c>
      <c r="AH20">
        <f t="shared" si="13"/>
        <v>-1.3922500000000001E-2</v>
      </c>
      <c r="AJ20">
        <f t="shared" si="29"/>
        <v>33.333333333333329</v>
      </c>
      <c r="AK20">
        <f t="shared" si="14"/>
        <v>9.7333333333333334E-3</v>
      </c>
      <c r="AL20">
        <f t="shared" si="15"/>
        <v>-1.4080000000000001E-2</v>
      </c>
      <c r="AN20">
        <f t="shared" si="30"/>
        <v>25</v>
      </c>
      <c r="AO20">
        <f t="shared" si="16"/>
        <v>9.9924999999999996E-3</v>
      </c>
      <c r="AP20">
        <f t="shared" si="17"/>
        <v>-1.42375E-2</v>
      </c>
      <c r="AR20">
        <f t="shared" si="31"/>
        <v>16.666666666666671</v>
      </c>
      <c r="AS20">
        <f t="shared" si="18"/>
        <v>1.0251666666666666E-2</v>
      </c>
      <c r="AT20">
        <f t="shared" si="19"/>
        <v>-1.4395E-2</v>
      </c>
      <c r="AV20">
        <f t="shared" si="32"/>
        <v>0</v>
      </c>
      <c r="AW20">
        <f t="shared" si="20"/>
        <v>1.077E-2</v>
      </c>
      <c r="AX20">
        <f t="shared" si="21"/>
        <v>-1.4710000000000001E-2</v>
      </c>
    </row>
    <row r="21" spans="1:50" x14ac:dyDescent="0.25">
      <c r="A21" s="37">
        <v>18</v>
      </c>
      <c r="B21" s="17">
        <v>3.3230000000000003E-2</v>
      </c>
      <c r="C21" s="17">
        <v>-2.5870000000000001E-2</v>
      </c>
      <c r="D21" s="15"/>
      <c r="E21" s="38">
        <v>3.5589999999999997E-2</v>
      </c>
      <c r="F21" s="38">
        <v>-2.555E-2</v>
      </c>
      <c r="G21" s="11"/>
      <c r="H21">
        <f t="shared" si="22"/>
        <v>91.666666666666671</v>
      </c>
      <c r="I21">
        <f t="shared" si="0"/>
        <v>3.3426666666666667E-2</v>
      </c>
      <c r="J21">
        <f t="shared" si="1"/>
        <v>-2.5843333333333333E-2</v>
      </c>
      <c r="L21">
        <f t="shared" si="23"/>
        <v>83.333333333333329</v>
      </c>
      <c r="M21">
        <f t="shared" si="2"/>
        <v>3.3623333333333338E-2</v>
      </c>
      <c r="N21">
        <f t="shared" si="3"/>
        <v>-2.5816666666666668E-2</v>
      </c>
      <c r="P21">
        <f t="shared" si="24"/>
        <v>75</v>
      </c>
      <c r="Q21">
        <f t="shared" si="4"/>
        <v>3.3820000000000003E-2</v>
      </c>
      <c r="R21">
        <f t="shared" si="5"/>
        <v>-2.579E-2</v>
      </c>
      <c r="T21">
        <f t="shared" si="25"/>
        <v>66.666666666666657</v>
      </c>
      <c r="U21">
        <f t="shared" si="6"/>
        <v>3.4016666666666667E-2</v>
      </c>
      <c r="V21">
        <f t="shared" si="7"/>
        <v>-2.5763333333333333E-2</v>
      </c>
      <c r="X21">
        <f t="shared" si="26"/>
        <v>58.333333333333336</v>
      </c>
      <c r="Y21">
        <f t="shared" si="8"/>
        <v>3.4213333333333332E-2</v>
      </c>
      <c r="Z21">
        <f t="shared" si="9"/>
        <v>-2.5736666666666668E-2</v>
      </c>
      <c r="AB21">
        <f t="shared" si="27"/>
        <v>50.000000000000007</v>
      </c>
      <c r="AC21">
        <f t="shared" si="10"/>
        <v>3.4409999999999996E-2</v>
      </c>
      <c r="AD21">
        <f t="shared" si="11"/>
        <v>-2.571E-2</v>
      </c>
      <c r="AF21">
        <f t="shared" si="28"/>
        <v>41.666666666666679</v>
      </c>
      <c r="AG21">
        <f t="shared" si="12"/>
        <v>3.4606666666666668E-2</v>
      </c>
      <c r="AH21">
        <f t="shared" si="13"/>
        <v>-2.5683333333333332E-2</v>
      </c>
      <c r="AJ21">
        <f t="shared" si="29"/>
        <v>33.333333333333329</v>
      </c>
      <c r="AK21">
        <f t="shared" si="14"/>
        <v>3.4803333333333332E-2</v>
      </c>
      <c r="AL21">
        <f t="shared" si="15"/>
        <v>-2.5656666666666668E-2</v>
      </c>
      <c r="AN21">
        <f t="shared" si="30"/>
        <v>25</v>
      </c>
      <c r="AO21">
        <f t="shared" si="16"/>
        <v>3.4999999999999996E-2</v>
      </c>
      <c r="AP21">
        <f t="shared" si="17"/>
        <v>-2.563E-2</v>
      </c>
      <c r="AR21">
        <f t="shared" si="31"/>
        <v>16.666666666666671</v>
      </c>
      <c r="AS21">
        <f t="shared" si="18"/>
        <v>3.5196666666666661E-2</v>
      </c>
      <c r="AT21">
        <f t="shared" si="19"/>
        <v>-2.5603333333333332E-2</v>
      </c>
      <c r="AV21">
        <f t="shared" si="32"/>
        <v>0</v>
      </c>
      <c r="AW21">
        <f t="shared" si="20"/>
        <v>3.5589999999999997E-2</v>
      </c>
      <c r="AX21">
        <f t="shared" si="21"/>
        <v>-2.555E-2</v>
      </c>
    </row>
    <row r="22" spans="1:50" x14ac:dyDescent="0.25">
      <c r="A22" s="37">
        <v>19</v>
      </c>
      <c r="B22" s="17">
        <v>9.7040000000000001E-2</v>
      </c>
      <c r="C22" s="17">
        <v>-4.2229999999999997E-2</v>
      </c>
      <c r="D22" s="15"/>
      <c r="E22" s="38">
        <v>9.3899999999999997E-2</v>
      </c>
      <c r="F22" s="38">
        <v>-3.814E-2</v>
      </c>
      <c r="G22" s="11"/>
      <c r="H22">
        <f t="shared" si="22"/>
        <v>91.666666666666671</v>
      </c>
      <c r="I22">
        <f t="shared" si="0"/>
        <v>9.6778333333333341E-2</v>
      </c>
      <c r="J22">
        <f t="shared" si="1"/>
        <v>-4.1889166666666665E-2</v>
      </c>
      <c r="L22">
        <f t="shared" si="23"/>
        <v>83.333333333333329</v>
      </c>
      <c r="M22">
        <f t="shared" si="2"/>
        <v>9.6516666666666667E-2</v>
      </c>
      <c r="N22">
        <f t="shared" si="3"/>
        <v>-4.1548333333333333E-2</v>
      </c>
      <c r="P22">
        <f t="shared" si="24"/>
        <v>75</v>
      </c>
      <c r="Q22">
        <f t="shared" si="4"/>
        <v>9.6255000000000007E-2</v>
      </c>
      <c r="R22">
        <f t="shared" si="5"/>
        <v>-4.1207499999999994E-2</v>
      </c>
      <c r="T22">
        <f t="shared" si="25"/>
        <v>66.666666666666657</v>
      </c>
      <c r="U22">
        <f t="shared" si="6"/>
        <v>9.5993333333333333E-2</v>
      </c>
      <c r="V22">
        <f t="shared" si="7"/>
        <v>-4.0866666666666662E-2</v>
      </c>
      <c r="X22">
        <f t="shared" si="26"/>
        <v>58.333333333333336</v>
      </c>
      <c r="Y22">
        <f t="shared" si="8"/>
        <v>9.5731666666666659E-2</v>
      </c>
      <c r="Z22">
        <f t="shared" si="9"/>
        <v>-4.052583333333333E-2</v>
      </c>
      <c r="AB22">
        <f t="shared" si="27"/>
        <v>50.000000000000007</v>
      </c>
      <c r="AC22">
        <f t="shared" si="10"/>
        <v>9.5469999999999999E-2</v>
      </c>
      <c r="AD22">
        <f t="shared" si="11"/>
        <v>-4.0184999999999998E-2</v>
      </c>
      <c r="AF22">
        <f t="shared" si="28"/>
        <v>41.666666666666679</v>
      </c>
      <c r="AG22">
        <f t="shared" si="12"/>
        <v>9.5208333333333339E-2</v>
      </c>
      <c r="AH22">
        <f t="shared" si="13"/>
        <v>-3.9844166666666667E-2</v>
      </c>
      <c r="AJ22">
        <f t="shared" si="29"/>
        <v>33.333333333333329</v>
      </c>
      <c r="AK22">
        <f t="shared" si="14"/>
        <v>9.4946666666666665E-2</v>
      </c>
      <c r="AL22">
        <f t="shared" si="15"/>
        <v>-3.9503333333333335E-2</v>
      </c>
      <c r="AN22">
        <f t="shared" si="30"/>
        <v>25</v>
      </c>
      <c r="AO22">
        <f t="shared" si="16"/>
        <v>9.4684999999999991E-2</v>
      </c>
      <c r="AP22">
        <f t="shared" si="17"/>
        <v>-3.9162500000000003E-2</v>
      </c>
      <c r="AR22">
        <f t="shared" si="31"/>
        <v>16.666666666666671</v>
      </c>
      <c r="AS22">
        <f t="shared" si="18"/>
        <v>9.4423333333333331E-2</v>
      </c>
      <c r="AT22">
        <f t="shared" si="19"/>
        <v>-3.8821666666666664E-2</v>
      </c>
      <c r="AV22">
        <f t="shared" si="32"/>
        <v>0</v>
      </c>
      <c r="AW22">
        <f t="shared" si="20"/>
        <v>9.3899999999999997E-2</v>
      </c>
      <c r="AX22">
        <f t="shared" si="21"/>
        <v>-3.814E-2</v>
      </c>
    </row>
    <row r="23" spans="1:50" x14ac:dyDescent="0.25">
      <c r="A23" s="37">
        <v>20</v>
      </c>
      <c r="B23" s="17">
        <v>0.17948</v>
      </c>
      <c r="C23" s="17">
        <v>-4.947E-2</v>
      </c>
      <c r="D23" s="15"/>
      <c r="E23" s="38">
        <v>0.17424999999999999</v>
      </c>
      <c r="F23" s="38">
        <v>-4.6359999999999998E-2</v>
      </c>
      <c r="G23" s="11"/>
      <c r="H23">
        <f t="shared" si="22"/>
        <v>91.666666666666671</v>
      </c>
      <c r="I23">
        <f t="shared" si="0"/>
        <v>0.17904416666666667</v>
      </c>
      <c r="J23">
        <f t="shared" si="1"/>
        <v>-4.9210833333333336E-2</v>
      </c>
      <c r="L23">
        <f t="shared" si="23"/>
        <v>83.333333333333329</v>
      </c>
      <c r="M23">
        <f t="shared" si="2"/>
        <v>0.17860833333333334</v>
      </c>
      <c r="N23">
        <f t="shared" si="3"/>
        <v>-4.8951666666666664E-2</v>
      </c>
      <c r="P23">
        <f t="shared" si="24"/>
        <v>75</v>
      </c>
      <c r="Q23">
        <f t="shared" si="4"/>
        <v>0.17817250000000001</v>
      </c>
      <c r="R23">
        <f t="shared" si="5"/>
        <v>-4.86925E-2</v>
      </c>
      <c r="T23">
        <f t="shared" si="25"/>
        <v>66.666666666666657</v>
      </c>
      <c r="U23">
        <f t="shared" si="6"/>
        <v>0.17773666666666665</v>
      </c>
      <c r="V23">
        <f t="shared" si="7"/>
        <v>-4.8433333333333335E-2</v>
      </c>
      <c r="X23">
        <f t="shared" si="26"/>
        <v>58.333333333333336</v>
      </c>
      <c r="Y23">
        <f t="shared" si="8"/>
        <v>0.17730083333333332</v>
      </c>
      <c r="Z23">
        <f t="shared" si="9"/>
        <v>-4.8174166666666664E-2</v>
      </c>
      <c r="AB23">
        <f t="shared" si="27"/>
        <v>50.000000000000007</v>
      </c>
      <c r="AC23">
        <f t="shared" si="10"/>
        <v>0.17686499999999999</v>
      </c>
      <c r="AD23">
        <f t="shared" si="11"/>
        <v>-4.7914999999999999E-2</v>
      </c>
      <c r="AF23">
        <f t="shared" si="28"/>
        <v>41.666666666666679</v>
      </c>
      <c r="AG23">
        <f t="shared" si="12"/>
        <v>0.17642916666666666</v>
      </c>
      <c r="AH23">
        <f t="shared" si="13"/>
        <v>-4.7655833333333335E-2</v>
      </c>
      <c r="AJ23">
        <f t="shared" si="29"/>
        <v>33.333333333333329</v>
      </c>
      <c r="AK23">
        <f t="shared" si="14"/>
        <v>0.17599333333333333</v>
      </c>
      <c r="AL23">
        <f t="shared" si="15"/>
        <v>-4.7396666666666663E-2</v>
      </c>
      <c r="AN23">
        <f t="shared" si="30"/>
        <v>25</v>
      </c>
      <c r="AO23">
        <f t="shared" si="16"/>
        <v>0.17555749999999998</v>
      </c>
      <c r="AP23">
        <f t="shared" si="17"/>
        <v>-4.7137499999999999E-2</v>
      </c>
      <c r="AR23">
        <f t="shared" si="31"/>
        <v>16.666666666666671</v>
      </c>
      <c r="AS23">
        <f t="shared" si="18"/>
        <v>0.17512166666666665</v>
      </c>
      <c r="AT23">
        <f t="shared" si="19"/>
        <v>-4.6878333333333334E-2</v>
      </c>
      <c r="AV23">
        <f t="shared" si="32"/>
        <v>0</v>
      </c>
      <c r="AW23">
        <f t="shared" si="20"/>
        <v>0.17424999999999999</v>
      </c>
      <c r="AX23">
        <f t="shared" si="21"/>
        <v>-4.6359999999999998E-2</v>
      </c>
    </row>
    <row r="24" spans="1:50" x14ac:dyDescent="0.25">
      <c r="A24" s="37">
        <v>21</v>
      </c>
      <c r="B24" s="17">
        <v>0.26478000000000002</v>
      </c>
      <c r="C24" s="17">
        <v>-5.1580000000000001E-2</v>
      </c>
      <c r="D24" s="15"/>
      <c r="E24" s="38">
        <v>0.25903999999999999</v>
      </c>
      <c r="F24" s="38">
        <v>-4.9680000000000002E-2</v>
      </c>
      <c r="G24" s="11"/>
      <c r="H24">
        <f t="shared" si="22"/>
        <v>91.666666666666671</v>
      </c>
      <c r="I24">
        <f t="shared" si="0"/>
        <v>0.26430166666666666</v>
      </c>
      <c r="J24">
        <f t="shared" si="1"/>
        <v>-5.1421666666666671E-2</v>
      </c>
      <c r="L24">
        <f t="shared" si="23"/>
        <v>83.333333333333329</v>
      </c>
      <c r="M24">
        <f t="shared" si="2"/>
        <v>0.26382333333333335</v>
      </c>
      <c r="N24">
        <f t="shared" si="3"/>
        <v>-5.1263333333333334E-2</v>
      </c>
      <c r="P24">
        <f t="shared" si="24"/>
        <v>75</v>
      </c>
      <c r="Q24">
        <f t="shared" si="4"/>
        <v>0.263345</v>
      </c>
      <c r="R24">
        <f t="shared" si="5"/>
        <v>-5.1104999999999998E-2</v>
      </c>
      <c r="T24">
        <f t="shared" si="25"/>
        <v>66.666666666666657</v>
      </c>
      <c r="U24">
        <f t="shared" si="6"/>
        <v>0.26286666666666669</v>
      </c>
      <c r="V24">
        <f t="shared" si="7"/>
        <v>-5.0946666666666668E-2</v>
      </c>
      <c r="X24">
        <f t="shared" si="26"/>
        <v>58.333333333333336</v>
      </c>
      <c r="Y24">
        <f t="shared" si="8"/>
        <v>0.26238833333333333</v>
      </c>
      <c r="Z24">
        <f t="shared" si="9"/>
        <v>-5.0788333333333338E-2</v>
      </c>
      <c r="AB24">
        <f t="shared" si="27"/>
        <v>50.000000000000007</v>
      </c>
      <c r="AC24">
        <f t="shared" si="10"/>
        <v>0.26191000000000003</v>
      </c>
      <c r="AD24">
        <f t="shared" si="11"/>
        <v>-5.0630000000000001E-2</v>
      </c>
      <c r="AF24">
        <f t="shared" si="28"/>
        <v>41.666666666666679</v>
      </c>
      <c r="AG24">
        <f t="shared" si="12"/>
        <v>0.26143166666666667</v>
      </c>
      <c r="AH24">
        <f t="shared" si="13"/>
        <v>-5.0471666666666672E-2</v>
      </c>
      <c r="AJ24">
        <f t="shared" si="29"/>
        <v>33.333333333333329</v>
      </c>
      <c r="AK24">
        <f t="shared" si="14"/>
        <v>0.26095333333333331</v>
      </c>
      <c r="AL24">
        <f t="shared" si="15"/>
        <v>-5.0313333333333335E-2</v>
      </c>
      <c r="AN24">
        <f t="shared" si="30"/>
        <v>25</v>
      </c>
      <c r="AO24">
        <f t="shared" si="16"/>
        <v>0.26047500000000001</v>
      </c>
      <c r="AP24">
        <f t="shared" si="17"/>
        <v>-5.0155000000000005E-2</v>
      </c>
      <c r="AR24">
        <f t="shared" si="31"/>
        <v>16.666666666666671</v>
      </c>
      <c r="AS24">
        <f t="shared" si="18"/>
        <v>0.25999666666666665</v>
      </c>
      <c r="AT24">
        <f t="shared" si="19"/>
        <v>-4.9996666666666668E-2</v>
      </c>
      <c r="AV24">
        <f t="shared" si="32"/>
        <v>0</v>
      </c>
      <c r="AW24">
        <f t="shared" si="20"/>
        <v>0.25903999999999999</v>
      </c>
      <c r="AX24">
        <f t="shared" si="21"/>
        <v>-4.9680000000000002E-2</v>
      </c>
    </row>
    <row r="25" spans="1:50" x14ac:dyDescent="0.25">
      <c r="A25" s="37">
        <v>22</v>
      </c>
      <c r="B25" s="17">
        <v>0.35043999999999997</v>
      </c>
      <c r="C25" s="17">
        <v>-5.135E-2</v>
      </c>
      <c r="D25" s="15"/>
      <c r="E25" s="38">
        <v>0.34539999999999998</v>
      </c>
      <c r="F25" s="38">
        <v>-4.965E-2</v>
      </c>
      <c r="G25" s="11"/>
      <c r="H25">
        <f t="shared" si="22"/>
        <v>91.666666666666671</v>
      </c>
      <c r="I25">
        <f t="shared" si="0"/>
        <v>0.35002</v>
      </c>
      <c r="J25">
        <f t="shared" si="1"/>
        <v>-5.1208333333333335E-2</v>
      </c>
      <c r="L25">
        <f t="shared" si="23"/>
        <v>83.333333333333329</v>
      </c>
      <c r="M25">
        <f t="shared" si="2"/>
        <v>0.34959999999999997</v>
      </c>
      <c r="N25">
        <f t="shared" si="3"/>
        <v>-5.1066666666666663E-2</v>
      </c>
      <c r="P25">
        <f t="shared" si="24"/>
        <v>75</v>
      </c>
      <c r="Q25">
        <f t="shared" si="4"/>
        <v>0.34917999999999999</v>
      </c>
      <c r="R25">
        <f t="shared" si="5"/>
        <v>-5.0924999999999998E-2</v>
      </c>
      <c r="T25">
        <f t="shared" si="25"/>
        <v>66.666666666666657</v>
      </c>
      <c r="U25">
        <f t="shared" si="6"/>
        <v>0.34875999999999996</v>
      </c>
      <c r="V25">
        <f t="shared" si="7"/>
        <v>-5.0783333333333333E-2</v>
      </c>
      <c r="X25">
        <f t="shared" si="26"/>
        <v>58.333333333333336</v>
      </c>
      <c r="Y25">
        <f t="shared" si="8"/>
        <v>0.34833999999999998</v>
      </c>
      <c r="Z25">
        <f t="shared" si="9"/>
        <v>-5.0641666666666668E-2</v>
      </c>
      <c r="AB25">
        <f t="shared" si="27"/>
        <v>50.000000000000007</v>
      </c>
      <c r="AC25">
        <f t="shared" si="10"/>
        <v>0.34792000000000001</v>
      </c>
      <c r="AD25">
        <f t="shared" si="11"/>
        <v>-5.0500000000000003E-2</v>
      </c>
      <c r="AF25">
        <f t="shared" si="28"/>
        <v>41.666666666666679</v>
      </c>
      <c r="AG25">
        <f t="shared" si="12"/>
        <v>0.34749999999999998</v>
      </c>
      <c r="AH25">
        <f t="shared" si="13"/>
        <v>-5.0358333333333331E-2</v>
      </c>
      <c r="AJ25">
        <f t="shared" si="29"/>
        <v>33.333333333333329</v>
      </c>
      <c r="AK25">
        <f t="shared" si="14"/>
        <v>0.34708</v>
      </c>
      <c r="AL25">
        <f t="shared" si="15"/>
        <v>-5.0216666666666666E-2</v>
      </c>
      <c r="AN25">
        <f t="shared" si="30"/>
        <v>25</v>
      </c>
      <c r="AO25">
        <f t="shared" si="16"/>
        <v>0.34665999999999997</v>
      </c>
      <c r="AP25">
        <f t="shared" si="17"/>
        <v>-5.0075000000000001E-2</v>
      </c>
      <c r="AR25">
        <f t="shared" si="31"/>
        <v>16.666666666666671</v>
      </c>
      <c r="AS25">
        <f t="shared" si="18"/>
        <v>0.34623999999999999</v>
      </c>
      <c r="AT25">
        <f t="shared" si="19"/>
        <v>-4.9933333333333337E-2</v>
      </c>
      <c r="AV25">
        <f t="shared" si="32"/>
        <v>0</v>
      </c>
      <c r="AW25">
        <f t="shared" si="20"/>
        <v>0.34539999999999998</v>
      </c>
      <c r="AX25">
        <f t="shared" si="21"/>
        <v>-4.965E-2</v>
      </c>
    </row>
    <row r="26" spans="1:50" x14ac:dyDescent="0.25">
      <c r="A26" s="37">
        <v>23</v>
      </c>
      <c r="B26" s="17">
        <v>0.43622</v>
      </c>
      <c r="C26" s="17">
        <v>-4.8860000000000001E-2</v>
      </c>
      <c r="D26" s="15"/>
      <c r="E26" s="38">
        <v>0.43256</v>
      </c>
      <c r="F26" s="38">
        <v>-4.7219999999999998E-2</v>
      </c>
      <c r="G26" s="11"/>
      <c r="H26">
        <f t="shared" si="22"/>
        <v>91.666666666666671</v>
      </c>
      <c r="I26">
        <f t="shared" si="0"/>
        <v>0.435915</v>
      </c>
      <c r="J26">
        <f t="shared" si="1"/>
        <v>-4.8723333333333334E-2</v>
      </c>
      <c r="L26">
        <f t="shared" si="23"/>
        <v>83.333333333333329</v>
      </c>
      <c r="M26">
        <f t="shared" si="2"/>
        <v>0.43561</v>
      </c>
      <c r="N26">
        <f t="shared" si="3"/>
        <v>-4.8586666666666667E-2</v>
      </c>
      <c r="P26">
        <f t="shared" si="24"/>
        <v>75</v>
      </c>
      <c r="Q26">
        <f t="shared" si="4"/>
        <v>0.435305</v>
      </c>
      <c r="R26">
        <f t="shared" si="5"/>
        <v>-4.845E-2</v>
      </c>
      <c r="T26">
        <f t="shared" si="25"/>
        <v>66.666666666666657</v>
      </c>
      <c r="U26">
        <f t="shared" si="6"/>
        <v>0.435</v>
      </c>
      <c r="V26">
        <f t="shared" si="7"/>
        <v>-4.8313333333333333E-2</v>
      </c>
      <c r="X26">
        <f t="shared" si="26"/>
        <v>58.333333333333336</v>
      </c>
      <c r="Y26">
        <f t="shared" si="8"/>
        <v>0.434695</v>
      </c>
      <c r="Z26">
        <f t="shared" si="9"/>
        <v>-4.8176666666666666E-2</v>
      </c>
      <c r="AB26">
        <f t="shared" si="27"/>
        <v>50.000000000000007</v>
      </c>
      <c r="AC26">
        <f t="shared" si="10"/>
        <v>0.43439</v>
      </c>
      <c r="AD26">
        <f t="shared" si="11"/>
        <v>-4.8039999999999999E-2</v>
      </c>
      <c r="AF26">
        <f t="shared" si="28"/>
        <v>41.666666666666679</v>
      </c>
      <c r="AG26">
        <f t="shared" si="12"/>
        <v>0.434085</v>
      </c>
      <c r="AH26">
        <f t="shared" si="13"/>
        <v>-4.7903333333333332E-2</v>
      </c>
      <c r="AJ26">
        <f t="shared" si="29"/>
        <v>33.333333333333329</v>
      </c>
      <c r="AK26">
        <f t="shared" si="14"/>
        <v>0.43378</v>
      </c>
      <c r="AL26">
        <f t="shared" si="15"/>
        <v>-4.7766666666666666E-2</v>
      </c>
      <c r="AN26">
        <f t="shared" si="30"/>
        <v>25</v>
      </c>
      <c r="AO26">
        <f t="shared" si="16"/>
        <v>0.433475</v>
      </c>
      <c r="AP26">
        <f t="shared" si="17"/>
        <v>-4.7629999999999999E-2</v>
      </c>
      <c r="AR26">
        <f t="shared" si="31"/>
        <v>16.666666666666671</v>
      </c>
      <c r="AS26">
        <f t="shared" si="18"/>
        <v>0.43317</v>
      </c>
      <c r="AT26">
        <f t="shared" si="19"/>
        <v>-4.7493333333333332E-2</v>
      </c>
      <c r="AV26">
        <f t="shared" si="32"/>
        <v>0</v>
      </c>
      <c r="AW26">
        <f t="shared" si="20"/>
        <v>0.43256</v>
      </c>
      <c r="AX26">
        <f t="shared" si="21"/>
        <v>-4.7219999999999998E-2</v>
      </c>
    </row>
    <row r="27" spans="1:50" x14ac:dyDescent="0.25">
      <c r="A27" s="37">
        <v>24</v>
      </c>
      <c r="B27" s="17">
        <v>0.52234000000000003</v>
      </c>
      <c r="C27" s="17">
        <v>-4.4549999999999999E-2</v>
      </c>
      <c r="D27" s="15"/>
      <c r="E27" s="38">
        <v>0.52019000000000004</v>
      </c>
      <c r="F27" s="38">
        <v>-4.3020000000000003E-2</v>
      </c>
      <c r="G27" s="11"/>
      <c r="H27">
        <f t="shared" si="22"/>
        <v>91.666666666666671</v>
      </c>
      <c r="I27">
        <f t="shared" si="0"/>
        <v>0.52216083333333341</v>
      </c>
      <c r="J27">
        <f t="shared" si="1"/>
        <v>-4.4422499999999997E-2</v>
      </c>
      <c r="L27">
        <f t="shared" si="23"/>
        <v>83.333333333333329</v>
      </c>
      <c r="M27">
        <f t="shared" si="2"/>
        <v>0.52198166666666668</v>
      </c>
      <c r="N27">
        <f t="shared" si="3"/>
        <v>-4.4295000000000001E-2</v>
      </c>
      <c r="P27">
        <f t="shared" si="24"/>
        <v>75</v>
      </c>
      <c r="Q27">
        <f t="shared" si="4"/>
        <v>0.52180250000000006</v>
      </c>
      <c r="R27">
        <f t="shared" si="5"/>
        <v>-4.4167499999999998E-2</v>
      </c>
      <c r="T27">
        <f t="shared" si="25"/>
        <v>66.666666666666657</v>
      </c>
      <c r="U27">
        <f t="shared" si="6"/>
        <v>0.52162333333333333</v>
      </c>
      <c r="V27">
        <f t="shared" si="7"/>
        <v>-4.4040000000000003E-2</v>
      </c>
      <c r="X27">
        <f t="shared" si="26"/>
        <v>58.333333333333336</v>
      </c>
      <c r="Y27">
        <f t="shared" si="8"/>
        <v>0.52144416666666671</v>
      </c>
      <c r="Z27">
        <f t="shared" si="9"/>
        <v>-4.39125E-2</v>
      </c>
      <c r="AB27">
        <f t="shared" si="27"/>
        <v>50.000000000000007</v>
      </c>
      <c r="AC27">
        <f t="shared" si="10"/>
        <v>0.52126500000000009</v>
      </c>
      <c r="AD27">
        <f t="shared" si="11"/>
        <v>-4.3785000000000004E-2</v>
      </c>
      <c r="AF27">
        <f t="shared" si="28"/>
        <v>41.666666666666679</v>
      </c>
      <c r="AG27">
        <f t="shared" si="12"/>
        <v>0.52108583333333336</v>
      </c>
      <c r="AH27">
        <f t="shared" si="13"/>
        <v>-4.3657500000000002E-2</v>
      </c>
      <c r="AJ27">
        <f t="shared" si="29"/>
        <v>33.333333333333329</v>
      </c>
      <c r="AK27">
        <f t="shared" si="14"/>
        <v>0.52090666666666674</v>
      </c>
      <c r="AL27">
        <f t="shared" si="15"/>
        <v>-4.3529999999999999E-2</v>
      </c>
      <c r="AN27">
        <f t="shared" si="30"/>
        <v>25</v>
      </c>
      <c r="AO27">
        <f t="shared" si="16"/>
        <v>0.52072750000000001</v>
      </c>
      <c r="AP27">
        <f t="shared" si="17"/>
        <v>-4.3402500000000004E-2</v>
      </c>
      <c r="AR27">
        <f t="shared" si="31"/>
        <v>16.666666666666671</v>
      </c>
      <c r="AS27">
        <f t="shared" si="18"/>
        <v>0.52054833333333339</v>
      </c>
      <c r="AT27">
        <f t="shared" si="19"/>
        <v>-4.3275000000000001E-2</v>
      </c>
      <c r="AV27">
        <f t="shared" si="32"/>
        <v>0</v>
      </c>
      <c r="AW27">
        <f t="shared" si="20"/>
        <v>0.52019000000000004</v>
      </c>
      <c r="AX27">
        <f t="shared" si="21"/>
        <v>-4.3020000000000003E-2</v>
      </c>
    </row>
    <row r="28" spans="1:50" x14ac:dyDescent="0.25">
      <c r="A28" s="37">
        <v>25</v>
      </c>
      <c r="B28" s="17">
        <v>0.60845000000000005</v>
      </c>
      <c r="C28" s="17">
        <v>-3.884E-2</v>
      </c>
      <c r="D28" s="15"/>
      <c r="E28" s="38">
        <v>0.60809000000000002</v>
      </c>
      <c r="F28" s="38">
        <v>-3.7470000000000003E-2</v>
      </c>
      <c r="G28" s="11"/>
      <c r="H28">
        <f t="shared" si="22"/>
        <v>91.666666666666671</v>
      </c>
      <c r="I28">
        <f t="shared" si="0"/>
        <v>0.60842000000000007</v>
      </c>
      <c r="J28">
        <f t="shared" si="1"/>
        <v>-3.8725833333333334E-2</v>
      </c>
      <c r="L28">
        <f t="shared" si="23"/>
        <v>83.333333333333329</v>
      </c>
      <c r="M28">
        <f t="shared" si="2"/>
        <v>0.60838999999999999</v>
      </c>
      <c r="N28">
        <f t="shared" si="3"/>
        <v>-3.8611666666666669E-2</v>
      </c>
      <c r="P28">
        <f t="shared" si="24"/>
        <v>75</v>
      </c>
      <c r="Q28">
        <f t="shared" si="4"/>
        <v>0.60836000000000001</v>
      </c>
      <c r="R28">
        <f t="shared" si="5"/>
        <v>-3.8497500000000004E-2</v>
      </c>
      <c r="T28">
        <f t="shared" si="25"/>
        <v>66.666666666666657</v>
      </c>
      <c r="U28">
        <f t="shared" si="6"/>
        <v>0.60833000000000004</v>
      </c>
      <c r="V28">
        <f t="shared" si="7"/>
        <v>-3.8383333333333332E-2</v>
      </c>
      <c r="X28">
        <f t="shared" si="26"/>
        <v>58.333333333333336</v>
      </c>
      <c r="Y28">
        <f t="shared" si="8"/>
        <v>0.60830000000000006</v>
      </c>
      <c r="Z28">
        <f t="shared" si="9"/>
        <v>-3.8269166666666667E-2</v>
      </c>
      <c r="AB28">
        <f t="shared" si="27"/>
        <v>50.000000000000007</v>
      </c>
      <c r="AC28">
        <f t="shared" si="10"/>
        <v>0.60827000000000009</v>
      </c>
      <c r="AD28">
        <f t="shared" si="11"/>
        <v>-3.8155000000000001E-2</v>
      </c>
      <c r="AF28">
        <f t="shared" si="28"/>
        <v>41.666666666666679</v>
      </c>
      <c r="AG28">
        <f t="shared" si="12"/>
        <v>0.60824</v>
      </c>
      <c r="AH28">
        <f t="shared" si="13"/>
        <v>-3.8040833333333336E-2</v>
      </c>
      <c r="AJ28">
        <f t="shared" si="29"/>
        <v>33.333333333333329</v>
      </c>
      <c r="AK28">
        <f t="shared" si="14"/>
        <v>0.60821000000000003</v>
      </c>
      <c r="AL28">
        <f t="shared" si="15"/>
        <v>-3.7926666666666671E-2</v>
      </c>
      <c r="AN28">
        <f t="shared" si="30"/>
        <v>25</v>
      </c>
      <c r="AO28">
        <f t="shared" si="16"/>
        <v>0.60818000000000005</v>
      </c>
      <c r="AP28">
        <f t="shared" si="17"/>
        <v>-3.7812499999999999E-2</v>
      </c>
      <c r="AR28">
        <f t="shared" si="31"/>
        <v>16.666666666666671</v>
      </c>
      <c r="AS28">
        <f t="shared" si="18"/>
        <v>0.60814999999999997</v>
      </c>
      <c r="AT28">
        <f t="shared" si="19"/>
        <v>-3.7698333333333334E-2</v>
      </c>
      <c r="AV28">
        <f t="shared" si="32"/>
        <v>0</v>
      </c>
      <c r="AW28">
        <f t="shared" si="20"/>
        <v>0.60809000000000002</v>
      </c>
      <c r="AX28">
        <f t="shared" si="21"/>
        <v>-3.7470000000000003E-2</v>
      </c>
    </row>
    <row r="29" spans="1:50" x14ac:dyDescent="0.25">
      <c r="A29" s="37">
        <v>26</v>
      </c>
      <c r="B29" s="17">
        <v>0.69442000000000004</v>
      </c>
      <c r="C29" s="17">
        <v>-3.1780000000000003E-2</v>
      </c>
      <c r="D29" s="15"/>
      <c r="E29" s="38">
        <v>0.69613000000000003</v>
      </c>
      <c r="F29" s="38">
        <v>-3.0849999999999999E-2</v>
      </c>
      <c r="G29" s="11"/>
      <c r="H29">
        <f t="shared" si="22"/>
        <v>91.666666666666671</v>
      </c>
      <c r="I29">
        <f t="shared" si="0"/>
        <v>0.69456250000000008</v>
      </c>
      <c r="J29">
        <f t="shared" si="1"/>
        <v>-3.1702500000000002E-2</v>
      </c>
      <c r="L29">
        <f t="shared" si="23"/>
        <v>83.333333333333329</v>
      </c>
      <c r="M29">
        <f t="shared" si="2"/>
        <v>0.69470500000000002</v>
      </c>
      <c r="N29">
        <f t="shared" si="3"/>
        <v>-3.1625E-2</v>
      </c>
      <c r="P29">
        <f t="shared" si="24"/>
        <v>75</v>
      </c>
      <c r="Q29">
        <f t="shared" si="4"/>
        <v>0.69484750000000006</v>
      </c>
      <c r="R29">
        <f t="shared" si="5"/>
        <v>-3.1547499999999999E-2</v>
      </c>
      <c r="T29">
        <f t="shared" si="25"/>
        <v>66.666666666666657</v>
      </c>
      <c r="U29">
        <f t="shared" si="6"/>
        <v>0.69499</v>
      </c>
      <c r="V29">
        <f t="shared" si="7"/>
        <v>-3.1469999999999998E-2</v>
      </c>
      <c r="X29">
        <f t="shared" si="26"/>
        <v>58.333333333333336</v>
      </c>
      <c r="Y29">
        <f t="shared" si="8"/>
        <v>0.69513250000000004</v>
      </c>
      <c r="Z29">
        <f t="shared" si="9"/>
        <v>-3.1392500000000004E-2</v>
      </c>
      <c r="AB29">
        <f t="shared" si="27"/>
        <v>50.000000000000007</v>
      </c>
      <c r="AC29">
        <f t="shared" si="10"/>
        <v>0.69527499999999998</v>
      </c>
      <c r="AD29">
        <f t="shared" si="11"/>
        <v>-3.1315000000000003E-2</v>
      </c>
      <c r="AF29">
        <f t="shared" si="28"/>
        <v>41.666666666666679</v>
      </c>
      <c r="AG29">
        <f t="shared" si="12"/>
        <v>0.69541750000000002</v>
      </c>
      <c r="AH29">
        <f t="shared" si="13"/>
        <v>-3.1237500000000001E-2</v>
      </c>
      <c r="AJ29">
        <f t="shared" si="29"/>
        <v>33.333333333333329</v>
      </c>
      <c r="AK29">
        <f t="shared" si="14"/>
        <v>0.69556000000000007</v>
      </c>
      <c r="AL29">
        <f t="shared" si="15"/>
        <v>-3.116E-2</v>
      </c>
      <c r="AN29">
        <f t="shared" si="30"/>
        <v>25</v>
      </c>
      <c r="AO29">
        <f t="shared" si="16"/>
        <v>0.6957025</v>
      </c>
      <c r="AP29">
        <f t="shared" si="17"/>
        <v>-3.1082499999999999E-2</v>
      </c>
      <c r="AR29">
        <f t="shared" si="31"/>
        <v>16.666666666666671</v>
      </c>
      <c r="AS29">
        <f t="shared" si="18"/>
        <v>0.69584500000000005</v>
      </c>
      <c r="AT29">
        <f t="shared" si="19"/>
        <v>-3.1005000000000001E-2</v>
      </c>
      <c r="AV29">
        <f t="shared" si="32"/>
        <v>0</v>
      </c>
      <c r="AW29">
        <f t="shared" si="20"/>
        <v>0.69613000000000003</v>
      </c>
      <c r="AX29">
        <f t="shared" si="21"/>
        <v>-3.0849999999999999E-2</v>
      </c>
    </row>
    <row r="30" spans="1:50" x14ac:dyDescent="0.25">
      <c r="A30" s="37">
        <v>27</v>
      </c>
      <c r="B30" s="17">
        <v>0.78025</v>
      </c>
      <c r="C30" s="17">
        <v>-2.383E-2</v>
      </c>
      <c r="D30" s="15"/>
      <c r="E30" s="38">
        <v>0.78420000000000001</v>
      </c>
      <c r="F30" s="38">
        <v>-2.3300000000000001E-2</v>
      </c>
      <c r="G30" s="11"/>
      <c r="H30">
        <f t="shared" si="22"/>
        <v>91.666666666666671</v>
      </c>
      <c r="I30">
        <f t="shared" si="0"/>
        <v>0.78057916666666671</v>
      </c>
      <c r="J30">
        <f t="shared" si="1"/>
        <v>-2.3785833333333332E-2</v>
      </c>
      <c r="L30">
        <f t="shared" si="23"/>
        <v>83.333333333333329</v>
      </c>
      <c r="M30">
        <f t="shared" si="2"/>
        <v>0.78090833333333332</v>
      </c>
      <c r="N30">
        <f t="shared" si="3"/>
        <v>-2.3741666666666668E-2</v>
      </c>
      <c r="P30">
        <f t="shared" si="24"/>
        <v>75</v>
      </c>
      <c r="Q30">
        <f t="shared" si="4"/>
        <v>0.78123750000000003</v>
      </c>
      <c r="R30">
        <f t="shared" si="5"/>
        <v>-2.36975E-2</v>
      </c>
      <c r="T30">
        <f t="shared" si="25"/>
        <v>66.666666666666657</v>
      </c>
      <c r="U30">
        <f t="shared" si="6"/>
        <v>0.78156666666666663</v>
      </c>
      <c r="V30">
        <f t="shared" si="7"/>
        <v>-2.3653333333333335E-2</v>
      </c>
      <c r="X30">
        <f t="shared" si="26"/>
        <v>58.333333333333336</v>
      </c>
      <c r="Y30">
        <f t="shared" si="8"/>
        <v>0.78189583333333335</v>
      </c>
      <c r="Z30">
        <f t="shared" si="9"/>
        <v>-2.3609166666666667E-2</v>
      </c>
      <c r="AB30">
        <f t="shared" si="27"/>
        <v>50.000000000000007</v>
      </c>
      <c r="AC30">
        <f t="shared" si="10"/>
        <v>0.78222499999999995</v>
      </c>
      <c r="AD30">
        <f t="shared" si="11"/>
        <v>-2.3565000000000003E-2</v>
      </c>
      <c r="AF30">
        <f t="shared" si="28"/>
        <v>41.666666666666679</v>
      </c>
      <c r="AG30">
        <f t="shared" si="12"/>
        <v>0.78255416666666666</v>
      </c>
      <c r="AH30">
        <f t="shared" si="13"/>
        <v>-2.3520833333333335E-2</v>
      </c>
      <c r="AJ30">
        <f t="shared" si="29"/>
        <v>33.333333333333329</v>
      </c>
      <c r="AK30">
        <f t="shared" si="14"/>
        <v>0.78288333333333338</v>
      </c>
      <c r="AL30">
        <f t="shared" si="15"/>
        <v>-2.3476666666666667E-2</v>
      </c>
      <c r="AN30">
        <f t="shared" si="30"/>
        <v>25</v>
      </c>
      <c r="AO30">
        <f t="shared" si="16"/>
        <v>0.78321249999999998</v>
      </c>
      <c r="AP30">
        <f t="shared" si="17"/>
        <v>-2.3432500000000002E-2</v>
      </c>
      <c r="AR30">
        <f t="shared" si="31"/>
        <v>16.666666666666671</v>
      </c>
      <c r="AS30">
        <f t="shared" si="18"/>
        <v>0.78354166666666669</v>
      </c>
      <c r="AT30">
        <f t="shared" si="19"/>
        <v>-2.3388333333333334E-2</v>
      </c>
      <c r="AV30">
        <f t="shared" si="32"/>
        <v>0</v>
      </c>
      <c r="AW30">
        <f t="shared" si="20"/>
        <v>0.78420000000000001</v>
      </c>
      <c r="AX30">
        <f t="shared" si="21"/>
        <v>-2.3300000000000001E-2</v>
      </c>
    </row>
    <row r="31" spans="1:50" x14ac:dyDescent="0.25">
      <c r="A31" s="37">
        <v>28</v>
      </c>
      <c r="B31" s="17">
        <v>0.86600999999999995</v>
      </c>
      <c r="C31" s="17">
        <v>-1.478E-2</v>
      </c>
      <c r="D31" s="15"/>
      <c r="E31" s="38">
        <v>0.87217999999999996</v>
      </c>
      <c r="F31" s="38">
        <v>-1.49E-2</v>
      </c>
      <c r="G31" s="11"/>
      <c r="H31">
        <f t="shared" si="22"/>
        <v>91.666666666666671</v>
      </c>
      <c r="I31">
        <f t="shared" si="0"/>
        <v>0.86652416666666665</v>
      </c>
      <c r="J31">
        <f t="shared" si="1"/>
        <v>-1.4789999999999999E-2</v>
      </c>
      <c r="L31">
        <f t="shared" si="23"/>
        <v>83.333333333333329</v>
      </c>
      <c r="M31">
        <f t="shared" si="2"/>
        <v>0.86703833333333324</v>
      </c>
      <c r="N31">
        <f t="shared" si="3"/>
        <v>-1.4800000000000001E-2</v>
      </c>
      <c r="P31">
        <f t="shared" si="24"/>
        <v>75</v>
      </c>
      <c r="Q31">
        <f t="shared" si="4"/>
        <v>0.86755249999999995</v>
      </c>
      <c r="R31">
        <f t="shared" si="5"/>
        <v>-1.481E-2</v>
      </c>
      <c r="T31">
        <f t="shared" si="25"/>
        <v>66.666666666666657</v>
      </c>
      <c r="U31">
        <f t="shared" si="6"/>
        <v>0.86806666666666665</v>
      </c>
      <c r="V31">
        <f t="shared" si="7"/>
        <v>-1.482E-2</v>
      </c>
      <c r="X31">
        <f t="shared" si="26"/>
        <v>58.333333333333336</v>
      </c>
      <c r="Y31">
        <f t="shared" si="8"/>
        <v>0.86858083333333325</v>
      </c>
      <c r="Z31">
        <f t="shared" si="9"/>
        <v>-1.4829999999999999E-2</v>
      </c>
      <c r="AB31">
        <f t="shared" si="27"/>
        <v>50.000000000000007</v>
      </c>
      <c r="AC31">
        <f t="shared" si="10"/>
        <v>0.86909499999999995</v>
      </c>
      <c r="AD31">
        <f t="shared" si="11"/>
        <v>-1.4839999999999999E-2</v>
      </c>
      <c r="AF31">
        <f t="shared" si="28"/>
        <v>41.666666666666679</v>
      </c>
      <c r="AG31">
        <f t="shared" si="12"/>
        <v>0.86960916666666666</v>
      </c>
      <c r="AH31">
        <f t="shared" si="13"/>
        <v>-1.485E-2</v>
      </c>
      <c r="AJ31">
        <f t="shared" si="29"/>
        <v>33.333333333333329</v>
      </c>
      <c r="AK31">
        <f t="shared" si="14"/>
        <v>0.87012333333333325</v>
      </c>
      <c r="AL31">
        <f t="shared" si="15"/>
        <v>-1.486E-2</v>
      </c>
      <c r="AN31">
        <f t="shared" si="30"/>
        <v>25</v>
      </c>
      <c r="AO31">
        <f t="shared" si="16"/>
        <v>0.87063749999999995</v>
      </c>
      <c r="AP31">
        <f t="shared" si="17"/>
        <v>-1.487E-2</v>
      </c>
      <c r="AR31">
        <f t="shared" si="31"/>
        <v>16.666666666666671</v>
      </c>
      <c r="AS31">
        <f t="shared" si="18"/>
        <v>0.87115166666666666</v>
      </c>
      <c r="AT31">
        <f t="shared" si="19"/>
        <v>-1.4879999999999999E-2</v>
      </c>
      <c r="AV31">
        <f t="shared" si="32"/>
        <v>0</v>
      </c>
      <c r="AW31">
        <f t="shared" si="20"/>
        <v>0.87217999999999996</v>
      </c>
      <c r="AX31">
        <f t="shared" si="21"/>
        <v>-1.49E-2</v>
      </c>
    </row>
    <row r="32" spans="1:50" x14ac:dyDescent="0.25">
      <c r="A32" s="37">
        <v>29</v>
      </c>
      <c r="B32" s="17">
        <v>0.95123000000000002</v>
      </c>
      <c r="C32" s="17">
        <v>-5.2100000000000002E-3</v>
      </c>
      <c r="D32" s="15"/>
      <c r="E32" s="38">
        <v>0.95823000000000003</v>
      </c>
      <c r="F32" s="38">
        <v>-5.8100000000000001E-3</v>
      </c>
      <c r="G32" s="11"/>
      <c r="H32">
        <f t="shared" si="22"/>
        <v>91.666666666666671</v>
      </c>
      <c r="I32">
        <f t="shared" si="0"/>
        <v>0.9518133333333334</v>
      </c>
      <c r="J32">
        <f t="shared" si="1"/>
        <v>-5.2599999999999999E-3</v>
      </c>
      <c r="L32">
        <f t="shared" si="23"/>
        <v>83.333333333333329</v>
      </c>
      <c r="M32">
        <f t="shared" si="2"/>
        <v>0.95239666666666667</v>
      </c>
      <c r="N32">
        <f t="shared" si="3"/>
        <v>-5.3100000000000005E-3</v>
      </c>
      <c r="P32">
        <f t="shared" si="24"/>
        <v>75</v>
      </c>
      <c r="Q32">
        <f t="shared" si="4"/>
        <v>0.95298000000000005</v>
      </c>
      <c r="R32">
        <f t="shared" si="5"/>
        <v>-5.3600000000000002E-3</v>
      </c>
      <c r="T32">
        <f t="shared" si="25"/>
        <v>66.666666666666657</v>
      </c>
      <c r="U32">
        <f t="shared" si="6"/>
        <v>0.95356333333333332</v>
      </c>
      <c r="V32">
        <f t="shared" si="7"/>
        <v>-5.4099999999999999E-3</v>
      </c>
      <c r="X32">
        <f t="shared" si="26"/>
        <v>58.333333333333336</v>
      </c>
      <c r="Y32">
        <f t="shared" si="8"/>
        <v>0.9541466666666667</v>
      </c>
      <c r="Z32">
        <f t="shared" si="9"/>
        <v>-5.4600000000000004E-3</v>
      </c>
      <c r="AB32">
        <f t="shared" si="27"/>
        <v>50.000000000000007</v>
      </c>
      <c r="AC32">
        <f t="shared" si="10"/>
        <v>0.95472999999999997</v>
      </c>
      <c r="AD32">
        <f t="shared" si="11"/>
        <v>-5.5100000000000001E-3</v>
      </c>
      <c r="AF32">
        <f t="shared" si="28"/>
        <v>41.666666666666679</v>
      </c>
      <c r="AG32">
        <f t="shared" si="12"/>
        <v>0.95531333333333335</v>
      </c>
      <c r="AH32">
        <f t="shared" si="13"/>
        <v>-5.5599999999999998E-3</v>
      </c>
      <c r="AJ32">
        <f t="shared" si="29"/>
        <v>33.333333333333329</v>
      </c>
      <c r="AK32">
        <f t="shared" si="14"/>
        <v>0.95589666666666673</v>
      </c>
      <c r="AL32">
        <f t="shared" si="15"/>
        <v>-5.6100000000000004E-3</v>
      </c>
      <c r="AN32">
        <f t="shared" si="30"/>
        <v>25</v>
      </c>
      <c r="AO32">
        <f t="shared" si="16"/>
        <v>0.95648</v>
      </c>
      <c r="AP32">
        <f t="shared" si="17"/>
        <v>-5.6600000000000001E-3</v>
      </c>
      <c r="AR32">
        <f t="shared" si="31"/>
        <v>16.666666666666671</v>
      </c>
      <c r="AS32">
        <f t="shared" si="18"/>
        <v>0.95706333333333338</v>
      </c>
      <c r="AT32">
        <f t="shared" si="19"/>
        <v>-5.7099999999999998E-3</v>
      </c>
      <c r="AV32">
        <f t="shared" si="32"/>
        <v>0</v>
      </c>
      <c r="AW32">
        <f t="shared" si="20"/>
        <v>0.95823000000000003</v>
      </c>
      <c r="AX32">
        <f t="shared" si="21"/>
        <v>-5.8100000000000001E-3</v>
      </c>
    </row>
    <row r="33" spans="1:50" x14ac:dyDescent="0.25">
      <c r="A33" s="37">
        <v>30</v>
      </c>
      <c r="B33" s="17">
        <v>1</v>
      </c>
      <c r="C33" s="17">
        <v>1.3999999999999999E-4</v>
      </c>
      <c r="D33" s="15"/>
      <c r="E33" s="38">
        <v>1</v>
      </c>
      <c r="F33" s="38">
        <v>-1.0499999999999999E-3</v>
      </c>
      <c r="G33" s="11"/>
      <c r="H33">
        <f t="shared" si="22"/>
        <v>91.666666666666671</v>
      </c>
      <c r="I33">
        <f t="shared" si="0"/>
        <v>1</v>
      </c>
      <c r="J33">
        <f t="shared" si="1"/>
        <v>4.083333333333326E-5</v>
      </c>
      <c r="L33">
        <f t="shared" si="23"/>
        <v>83.333333333333329</v>
      </c>
      <c r="M33">
        <f t="shared" si="2"/>
        <v>1</v>
      </c>
      <c r="N33">
        <f t="shared" si="3"/>
        <v>-5.8333333333333414E-5</v>
      </c>
      <c r="P33">
        <f t="shared" si="24"/>
        <v>75</v>
      </c>
      <c r="Q33">
        <f t="shared" si="4"/>
        <v>1</v>
      </c>
      <c r="R33">
        <f t="shared" si="5"/>
        <v>-1.5749999999999998E-4</v>
      </c>
      <c r="T33">
        <f t="shared" si="25"/>
        <v>66.666666666666657</v>
      </c>
      <c r="U33">
        <f t="shared" si="6"/>
        <v>1</v>
      </c>
      <c r="V33">
        <f t="shared" si="7"/>
        <v>-2.5666666666666687E-4</v>
      </c>
      <c r="X33">
        <f t="shared" si="26"/>
        <v>58.333333333333336</v>
      </c>
      <c r="Y33">
        <f t="shared" si="8"/>
        <v>1</v>
      </c>
      <c r="Z33">
        <f t="shared" si="9"/>
        <v>-3.5583333333333322E-4</v>
      </c>
      <c r="AB33">
        <f t="shared" si="27"/>
        <v>50.000000000000007</v>
      </c>
      <c r="AC33">
        <f t="shared" si="10"/>
        <v>1</v>
      </c>
      <c r="AD33">
        <f t="shared" si="11"/>
        <v>-4.5499999999999989E-4</v>
      </c>
      <c r="AF33">
        <f t="shared" si="28"/>
        <v>41.666666666666679</v>
      </c>
      <c r="AG33">
        <f t="shared" si="12"/>
        <v>1</v>
      </c>
      <c r="AH33">
        <f t="shared" si="13"/>
        <v>-5.5416666666666657E-4</v>
      </c>
      <c r="AJ33">
        <f t="shared" si="29"/>
        <v>33.333333333333329</v>
      </c>
      <c r="AK33">
        <f t="shared" si="14"/>
        <v>1</v>
      </c>
      <c r="AL33">
        <f t="shared" si="15"/>
        <v>-6.5333333333333346E-4</v>
      </c>
      <c r="AN33">
        <f t="shared" si="30"/>
        <v>25</v>
      </c>
      <c r="AO33">
        <f t="shared" si="16"/>
        <v>1</v>
      </c>
      <c r="AP33">
        <f t="shared" si="17"/>
        <v>-7.5249999999999991E-4</v>
      </c>
      <c r="AR33">
        <f t="shared" si="31"/>
        <v>16.666666666666671</v>
      </c>
      <c r="AS33">
        <f t="shared" si="18"/>
        <v>1</v>
      </c>
      <c r="AT33">
        <f t="shared" si="19"/>
        <v>-8.5166666666666659E-4</v>
      </c>
      <c r="AV33">
        <f t="shared" si="32"/>
        <v>0</v>
      </c>
      <c r="AW33">
        <f t="shared" si="20"/>
        <v>1</v>
      </c>
      <c r="AX33">
        <f t="shared" si="21"/>
        <v>-1.0499999999999999E-3</v>
      </c>
    </row>
    <row r="34" spans="1:50" ht="15.75" thickBot="1" x14ac:dyDescent="0.3">
      <c r="A34" s="12"/>
      <c r="B34" s="21"/>
      <c r="C34" s="21"/>
      <c r="D34" s="21"/>
      <c r="E34" s="21"/>
      <c r="F34" s="21"/>
      <c r="G34" s="13"/>
    </row>
  </sheetData>
  <mergeCells count="13">
    <mergeCell ref="B2:C2"/>
    <mergeCell ref="H2:J2"/>
    <mergeCell ref="L2:N2"/>
    <mergeCell ref="P2:R2"/>
    <mergeCell ref="T2:V2"/>
    <mergeCell ref="E2:F2"/>
    <mergeCell ref="AV2:AX2"/>
    <mergeCell ref="X2:Z2"/>
    <mergeCell ref="AB2:AD2"/>
    <mergeCell ref="AJ2:AL2"/>
    <mergeCell ref="AR2:AT2"/>
    <mergeCell ref="AF2:AH2"/>
    <mergeCell ref="AN2:AP2"/>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workbookViewId="0">
      <selection activeCell="T19" sqref="T19"/>
    </sheetView>
  </sheetViews>
  <sheetFormatPr defaultRowHeight="15" x14ac:dyDescent="0.25"/>
  <sheetData>
    <row r="1" spans="1:22" ht="15.75" thickBot="1" x14ac:dyDescent="0.3">
      <c r="A1" t="s">
        <v>4</v>
      </c>
      <c r="D1" t="s">
        <v>0</v>
      </c>
      <c r="E1" t="s">
        <v>1</v>
      </c>
      <c r="F1" t="s">
        <v>2</v>
      </c>
      <c r="G1" t="s">
        <v>5</v>
      </c>
      <c r="J1" t="s">
        <v>10</v>
      </c>
      <c r="K1" t="s">
        <v>9</v>
      </c>
      <c r="N1" s="6" t="s">
        <v>6</v>
      </c>
      <c r="O1" s="6" t="s">
        <v>7</v>
      </c>
      <c r="P1" s="6" t="s">
        <v>8</v>
      </c>
    </row>
    <row r="2" spans="1:22" x14ac:dyDescent="0.25">
      <c r="A2">
        <f>'Airfoil Interpolation'!B4</f>
        <v>1</v>
      </c>
      <c r="B2" s="7">
        <f>'Airfoil Interpolation'!C4</f>
        <v>1.3999999999999999E-4</v>
      </c>
      <c r="D2" s="4">
        <f>'Loft Viewer'!B5</f>
        <v>0</v>
      </c>
      <c r="E2" s="4">
        <f>'Loft Viewer'!B6</f>
        <v>0.9</v>
      </c>
      <c r="F2" s="4">
        <f>'Loft Viewer'!B7</f>
        <v>0</v>
      </c>
      <c r="G2" s="4">
        <f>-'Loft Viewer'!B8</f>
        <v>-8.4829900706354096</v>
      </c>
      <c r="J2">
        <f>'Loft Viewer'!B2</f>
        <v>0</v>
      </c>
      <c r="K2" s="1">
        <f>((A2)*COS(3.14*G2/180)-B2*SIN(3.14*G2/180))</f>
        <v>0.98909141261802058</v>
      </c>
      <c r="L2" s="1">
        <f>((A2)*SIN(3.14*G2/180)+B2*COS(3.14*G2/180))/COS(3.14*G2/180)</f>
        <v>-0.14893077761144999</v>
      </c>
      <c r="N2" s="22">
        <f>K2*E2*1000/COS(G2*3.14/180)+F2*1000</f>
        <v>900.01878291797902</v>
      </c>
      <c r="O2" s="23">
        <f>L2*E2*1000/COS(G2*3.14/180)-J2*E2*L2*1000/COS(3.14*G2/180)</f>
        <v>-135.51881605168765</v>
      </c>
      <c r="P2" s="24">
        <f>D2*1000</f>
        <v>0</v>
      </c>
      <c r="V2" s="5"/>
    </row>
    <row r="3" spans="1:22" x14ac:dyDescent="0.25">
      <c r="A3">
        <f>'Airfoil Interpolation'!B5</f>
        <v>0.95121999999999995</v>
      </c>
      <c r="B3" s="7">
        <f>'Airfoil Interpolation'!C5</f>
        <v>5.6100000000000004E-3</v>
      </c>
      <c r="D3">
        <f>D2</f>
        <v>0</v>
      </c>
      <c r="E3">
        <f>E2</f>
        <v>0.9</v>
      </c>
      <c r="F3">
        <f>F2</f>
        <v>0</v>
      </c>
      <c r="G3">
        <f>G2</f>
        <v>-8.4829900706354096</v>
      </c>
      <c r="J3">
        <f>J2</f>
        <v>0</v>
      </c>
      <c r="K3" s="1">
        <f t="shared" ref="K3:K31" si="0">((A3)*COS(3.14*G3/180)-B3*SIN(3.14*G3/180))</f>
        <v>0.94165104569091029</v>
      </c>
      <c r="L3" s="1">
        <f t="shared" ref="L3:L31" si="1">((A3)*SIN(3.14*G3/180)+B3*COS(3.14*G3/180))/COS(3.14*G3/180)</f>
        <v>-0.13618910507956344</v>
      </c>
      <c r="N3" s="25">
        <f t="shared" ref="N3:N31" si="2">K3*E3*1000/COS(G3*3.14/180)+F3*1000</f>
        <v>856.85065835616024</v>
      </c>
      <c r="O3" s="19">
        <f>L3*E3*1000/COS(G3*3.14/180)-J3*E3*L2*1000/COS(3.14*G2/180)</f>
        <v>-123.92459487233876</v>
      </c>
      <c r="P3" s="20">
        <f t="shared" ref="P3:P31" si="3">D3*1000</f>
        <v>0</v>
      </c>
    </row>
    <row r="4" spans="1:22" x14ac:dyDescent="0.25">
      <c r="A4">
        <f>'Airfoil Interpolation'!B6</f>
        <v>0.86626999999999998</v>
      </c>
      <c r="B4" s="7">
        <f>'Airfoil Interpolation'!C6</f>
        <v>1.6240000000000001E-2</v>
      </c>
      <c r="D4">
        <f t="shared" ref="D4:D31" si="4">D3</f>
        <v>0</v>
      </c>
      <c r="E4">
        <f t="shared" ref="E4:E31" si="5">E3</f>
        <v>0.9</v>
      </c>
      <c r="F4">
        <f t="shared" ref="F4:F31" si="6">F3</f>
        <v>0</v>
      </c>
      <c r="G4">
        <f t="shared" ref="G4:G31" si="7">G3</f>
        <v>-8.4829900706354096</v>
      </c>
      <c r="J4">
        <f t="shared" ref="J4:J31" si="8">J3</f>
        <v>0</v>
      </c>
      <c r="K4" s="1">
        <f t="shared" si="0"/>
        <v>0.85919678737632876</v>
      </c>
      <c r="L4" s="1">
        <f t="shared" si="1"/>
        <v>-0.11289554252147078</v>
      </c>
      <c r="N4" s="25">
        <f t="shared" si="2"/>
        <v>781.821818485569</v>
      </c>
      <c r="O4" s="19">
        <f>L4*E4*1000/COS(G4*3.14/180)-J4*E4*L2*1000/COS(3.14*G2/180)</f>
        <v>-102.72873415015621</v>
      </c>
      <c r="P4" s="20">
        <f t="shared" si="3"/>
        <v>0</v>
      </c>
    </row>
    <row r="5" spans="1:22" x14ac:dyDescent="0.25">
      <c r="A5">
        <f>'Airfoil Interpolation'!B7</f>
        <v>0.78124000000000005</v>
      </c>
      <c r="B5" s="7">
        <f>'Airfoil Interpolation'!C7</f>
        <v>2.8649999999999998E-2</v>
      </c>
      <c r="D5">
        <f t="shared" si="4"/>
        <v>0</v>
      </c>
      <c r="E5">
        <f t="shared" si="5"/>
        <v>0.9</v>
      </c>
      <c r="F5">
        <f t="shared" si="6"/>
        <v>0</v>
      </c>
      <c r="G5">
        <f t="shared" si="7"/>
        <v>-8.4829900706354096</v>
      </c>
      <c r="J5">
        <f t="shared" si="8"/>
        <v>0</v>
      </c>
      <c r="K5" s="1">
        <f t="shared" si="0"/>
        <v>0.77692584935715381</v>
      </c>
      <c r="L5" s="1">
        <f t="shared" si="1"/>
        <v>-8.7810054301169199E-2</v>
      </c>
      <c r="N5" s="25">
        <f t="shared" si="2"/>
        <v>706.95979000071134</v>
      </c>
      <c r="O5" s="19">
        <f>L5*E5*1000/COS(G5*3.14/180)-J5*E5*L2*1000/COS(3.14*G2/180)</f>
        <v>-79.902319635870697</v>
      </c>
      <c r="P5" s="20">
        <f t="shared" si="3"/>
        <v>0</v>
      </c>
    </row>
    <row r="6" spans="1:22" x14ac:dyDescent="0.25">
      <c r="A6">
        <f>'Airfoil Interpolation'!B8</f>
        <v>0.69625999999999999</v>
      </c>
      <c r="B6" s="7">
        <f>'Airfoil Interpolation'!C8</f>
        <v>4.2659999999999997E-2</v>
      </c>
      <c r="D6">
        <f t="shared" si="4"/>
        <v>0</v>
      </c>
      <c r="E6">
        <f t="shared" si="5"/>
        <v>0.9</v>
      </c>
      <c r="F6">
        <f t="shared" si="6"/>
        <v>0</v>
      </c>
      <c r="G6">
        <f t="shared" si="7"/>
        <v>-8.4829900706354096</v>
      </c>
      <c r="J6">
        <f t="shared" si="8"/>
        <v>0</v>
      </c>
      <c r="K6" s="1">
        <f t="shared" si="0"/>
        <v>0.69494027135478453</v>
      </c>
      <c r="L6" s="1">
        <f t="shared" si="1"/>
        <v>-6.1132019619748172E-2</v>
      </c>
      <c r="N6" s="25">
        <f t="shared" si="2"/>
        <v>632.35742343561401</v>
      </c>
      <c r="O6" s="19">
        <f>L6*E6*1000/COS(G6*3.14/180)-J6*E6*L2*1000/COS(3.14*G2/180)</f>
        <v>-55.626775436106279</v>
      </c>
      <c r="P6" s="20">
        <f t="shared" si="3"/>
        <v>0</v>
      </c>
    </row>
    <row r="7" spans="1:22" x14ac:dyDescent="0.25">
      <c r="A7">
        <f>'Airfoil Interpolation'!B9</f>
        <v>0.61146</v>
      </c>
      <c r="B7" s="7">
        <f>'Airfoil Interpolation'!C9</f>
        <v>5.8369999999999998E-2</v>
      </c>
      <c r="D7">
        <f t="shared" si="4"/>
        <v>0</v>
      </c>
      <c r="E7">
        <f t="shared" si="5"/>
        <v>0.9</v>
      </c>
      <c r="F7">
        <f t="shared" si="6"/>
        <v>0</v>
      </c>
      <c r="G7">
        <f t="shared" si="7"/>
        <v>-8.4829900706354096</v>
      </c>
      <c r="J7">
        <f t="shared" si="8"/>
        <v>0</v>
      </c>
      <c r="K7" s="1">
        <f t="shared" si="0"/>
        <v>0.61338337672431686</v>
      </c>
      <c r="L7" s="1">
        <f t="shared" si="1"/>
        <v>-3.2780817678297214E-2</v>
      </c>
      <c r="N7" s="25">
        <f t="shared" si="2"/>
        <v>558.14513516026227</v>
      </c>
      <c r="O7" s="19">
        <f>L7*E7*1000/COS(G7*3.14/180)-J7*E7*L2*1000/COS(3.14*G2/180)</f>
        <v>-29.828741058205097</v>
      </c>
      <c r="P7" s="20">
        <f t="shared" si="3"/>
        <v>0</v>
      </c>
    </row>
    <row r="8" spans="1:22" x14ac:dyDescent="0.25">
      <c r="A8">
        <f>'Airfoil Interpolation'!B10</f>
        <v>0.52680000000000005</v>
      </c>
      <c r="B8" s="7">
        <f>'Airfoil Interpolation'!C10</f>
        <v>7.4260000000000007E-2</v>
      </c>
      <c r="D8">
        <f t="shared" si="4"/>
        <v>0</v>
      </c>
      <c r="E8">
        <f t="shared" si="5"/>
        <v>0.9</v>
      </c>
      <c r="F8">
        <f t="shared" si="6"/>
        <v>0</v>
      </c>
      <c r="G8">
        <f t="shared" si="7"/>
        <v>-8.4829900706354096</v>
      </c>
      <c r="J8">
        <f t="shared" si="8"/>
        <v>0</v>
      </c>
      <c r="K8" s="1">
        <f t="shared" si="0"/>
        <v>0.53199149148056624</v>
      </c>
      <c r="L8" s="1">
        <f t="shared" si="1"/>
        <v>-4.2704856457118582E-3</v>
      </c>
      <c r="N8" s="25">
        <f t="shared" si="2"/>
        <v>484.08299635088372</v>
      </c>
      <c r="O8" s="19">
        <f>L8*E8*1000/COS(G8*3.14/180)-J8*E8*L2*1000/COS(3.14*G2/180)</f>
        <v>-3.8859070499347497</v>
      </c>
      <c r="P8" s="20">
        <f t="shared" si="3"/>
        <v>0</v>
      </c>
    </row>
    <row r="9" spans="1:22" x14ac:dyDescent="0.25">
      <c r="A9">
        <f>'Airfoil Interpolation'!B11</f>
        <v>0.44248999999999999</v>
      </c>
      <c r="B9" s="7">
        <f>'Airfoil Interpolation'!C11</f>
        <v>8.7239999999999998E-2</v>
      </c>
      <c r="D9">
        <f t="shared" si="4"/>
        <v>0</v>
      </c>
      <c r="E9">
        <f t="shared" si="5"/>
        <v>0.9</v>
      </c>
      <c r="F9">
        <f t="shared" si="6"/>
        <v>0</v>
      </c>
      <c r="G9">
        <f t="shared" si="7"/>
        <v>-8.4829900706354096</v>
      </c>
      <c r="J9">
        <f t="shared" si="8"/>
        <v>0</v>
      </c>
      <c r="K9" s="1">
        <f t="shared" si="0"/>
        <v>0.4505167260992502</v>
      </c>
      <c r="L9" s="1">
        <f t="shared" si="1"/>
        <v>2.1277671614709493E-2</v>
      </c>
      <c r="N9" s="25">
        <f t="shared" si="2"/>
        <v>409.94544117494064</v>
      </c>
      <c r="O9" s="19">
        <f>L9*E9*1000/COS(G9*3.14/180)-J9*E9*L2*1000/COS(3.14*G2/180)</f>
        <v>19.361510842875919</v>
      </c>
      <c r="P9" s="20">
        <f t="shared" si="3"/>
        <v>0</v>
      </c>
    </row>
    <row r="10" spans="1:22" x14ac:dyDescent="0.25">
      <c r="A10">
        <f>'Airfoil Interpolation'!B12</f>
        <v>0.35810999999999998</v>
      </c>
      <c r="B10" s="7">
        <f>'Airfoil Interpolation'!C12</f>
        <v>9.597E-2</v>
      </c>
      <c r="D10">
        <f t="shared" si="4"/>
        <v>0</v>
      </c>
      <c r="E10">
        <f t="shared" si="5"/>
        <v>0.9</v>
      </c>
      <c r="F10">
        <f t="shared" si="6"/>
        <v>0</v>
      </c>
      <c r="G10">
        <f t="shared" si="7"/>
        <v>-8.4829900706354096</v>
      </c>
      <c r="J10">
        <f t="shared" si="8"/>
        <v>0</v>
      </c>
      <c r="K10" s="1">
        <f t="shared" si="0"/>
        <v>0.36834609918108469</v>
      </c>
      <c r="L10" s="1">
        <f t="shared" si="1"/>
        <v>4.2586263829563646E-2</v>
      </c>
      <c r="N10" s="25">
        <f t="shared" si="2"/>
        <v>335.17469027463375</v>
      </c>
      <c r="O10" s="19">
        <f>L10*E10*1000/COS(G10*3.14/180)-J10*E10*L2*1000/COS(3.14*G2/180)</f>
        <v>38.751157731171176</v>
      </c>
      <c r="P10" s="20">
        <f t="shared" si="3"/>
        <v>0</v>
      </c>
    </row>
    <row r="11" spans="1:22" x14ac:dyDescent="0.25">
      <c r="A11">
        <f>'Airfoil Interpolation'!B13</f>
        <v>0.27444000000000002</v>
      </c>
      <c r="B11" s="7">
        <f>'Airfoil Interpolation'!C13</f>
        <v>9.7790000000000002E-2</v>
      </c>
      <c r="D11">
        <f t="shared" si="4"/>
        <v>0</v>
      </c>
      <c r="E11">
        <f t="shared" si="5"/>
        <v>0.9</v>
      </c>
      <c r="F11">
        <f t="shared" si="6"/>
        <v>0</v>
      </c>
      <c r="G11">
        <f t="shared" si="7"/>
        <v>-8.4829900706354096</v>
      </c>
      <c r="J11">
        <f t="shared" si="8"/>
        <v>0</v>
      </c>
      <c r="K11" s="1">
        <f t="shared" si="0"/>
        <v>0.28585889140717791</v>
      </c>
      <c r="L11" s="1">
        <f t="shared" si="1"/>
        <v>5.6879015792313664E-2</v>
      </c>
      <c r="N11" s="25">
        <f t="shared" si="2"/>
        <v>260.11586820836129</v>
      </c>
      <c r="O11" s="19">
        <f>L11*E11*1000/COS(G11*3.14/180)-J11*E11*L2*1000/COS(3.14*G2/180)</f>
        <v>51.756775879259081</v>
      </c>
      <c r="P11" s="20">
        <f t="shared" si="3"/>
        <v>0</v>
      </c>
    </row>
    <row r="12" spans="1:22" x14ac:dyDescent="0.25">
      <c r="A12">
        <f>'Airfoil Interpolation'!B14</f>
        <v>0.19114999999999999</v>
      </c>
      <c r="B12" s="7">
        <f>'Airfoil Interpolation'!C14</f>
        <v>9.2439999999999994E-2</v>
      </c>
      <c r="D12">
        <f t="shared" si="4"/>
        <v>0</v>
      </c>
      <c r="E12">
        <f t="shared" si="5"/>
        <v>0.9</v>
      </c>
      <c r="F12">
        <f t="shared" si="6"/>
        <v>0</v>
      </c>
      <c r="G12">
        <f t="shared" si="7"/>
        <v>-8.4829900706354096</v>
      </c>
      <c r="J12">
        <f t="shared" si="8"/>
        <v>0</v>
      </c>
      <c r="K12" s="1">
        <f t="shared" si="0"/>
        <v>0.20269037462044717</v>
      </c>
      <c r="L12" s="1">
        <f t="shared" si="1"/>
        <v>6.3945120859571339E-2</v>
      </c>
      <c r="N12" s="25">
        <f t="shared" si="2"/>
        <v>184.43709241416218</v>
      </c>
      <c r="O12" s="19">
        <f>L12*E12*1000/COS(G12*3.14/180)-J12*E12*L2*1000/COS(3.14*G2/180)</f>
        <v>58.186542836562396</v>
      </c>
      <c r="P12" s="20">
        <f t="shared" si="3"/>
        <v>0</v>
      </c>
    </row>
    <row r="13" spans="1:22" x14ac:dyDescent="0.25">
      <c r="A13">
        <f>'Airfoil Interpolation'!B15</f>
        <v>0.11174000000000001</v>
      </c>
      <c r="B13" s="7">
        <f>'Airfoil Interpolation'!C15</f>
        <v>7.5749999999999998E-2</v>
      </c>
      <c r="D13">
        <f t="shared" si="4"/>
        <v>0</v>
      </c>
      <c r="E13">
        <f t="shared" si="5"/>
        <v>0.9</v>
      </c>
      <c r="F13">
        <f t="shared" si="6"/>
        <v>0</v>
      </c>
      <c r="G13">
        <f t="shared" si="7"/>
        <v>-8.4829900706354096</v>
      </c>
      <c r="J13">
        <f t="shared" si="8"/>
        <v>0</v>
      </c>
      <c r="K13" s="1">
        <f t="shared" si="0"/>
        <v>0.12168746525971659</v>
      </c>
      <c r="L13" s="1">
        <f t="shared" si="1"/>
        <v>5.9092831309696572E-2</v>
      </c>
      <c r="N13" s="25">
        <f t="shared" si="2"/>
        <v>110.72890026366061</v>
      </c>
      <c r="O13" s="19">
        <f>L13*E13*1000/COS(G13*3.14/180)-J13*E13*L2*1000/COS(3.14*G2/180)</f>
        <v>53.77122623454629</v>
      </c>
      <c r="P13" s="20">
        <f t="shared" si="3"/>
        <v>0</v>
      </c>
    </row>
    <row r="14" spans="1:22" x14ac:dyDescent="0.25">
      <c r="A14">
        <f>'Airfoil Interpolation'!B16</f>
        <v>4.2939999999999999E-2</v>
      </c>
      <c r="B14" s="7">
        <f>'Airfoil Interpolation'!C16</f>
        <v>4.8120000000000003E-2</v>
      </c>
      <c r="D14">
        <f t="shared" si="4"/>
        <v>0</v>
      </c>
      <c r="E14">
        <f t="shared" si="5"/>
        <v>0.9</v>
      </c>
      <c r="F14">
        <f t="shared" si="6"/>
        <v>0</v>
      </c>
      <c r="G14">
        <f t="shared" si="7"/>
        <v>-8.4829900706354096</v>
      </c>
      <c r="J14">
        <f t="shared" si="8"/>
        <v>0</v>
      </c>
      <c r="K14" s="1">
        <f t="shared" si="0"/>
        <v>4.9565586232044448E-2</v>
      </c>
      <c r="L14" s="1">
        <f t="shared" si="1"/>
        <v>4.1718900809364343E-2</v>
      </c>
      <c r="N14" s="25">
        <f t="shared" si="2"/>
        <v>45.101957236796679</v>
      </c>
      <c r="O14" s="19">
        <f>L14*E14*1000/COS(G14*3.14/180)-J14*E14*L2*1000/COS(3.14*G2/180)</f>
        <v>37.961905089980448</v>
      </c>
      <c r="P14" s="20">
        <f t="shared" si="3"/>
        <v>0</v>
      </c>
    </row>
    <row r="15" spans="1:22" x14ac:dyDescent="0.25">
      <c r="A15">
        <f>'Airfoil Interpolation'!B17</f>
        <v>1.106E-2</v>
      </c>
      <c r="B15" s="7">
        <f>'Airfoil Interpolation'!C17</f>
        <v>2.2919999999999999E-2</v>
      </c>
      <c r="D15">
        <f t="shared" si="4"/>
        <v>0</v>
      </c>
      <c r="E15">
        <f t="shared" si="5"/>
        <v>0.9</v>
      </c>
      <c r="F15">
        <f t="shared" si="6"/>
        <v>0</v>
      </c>
      <c r="G15">
        <f t="shared" si="7"/>
        <v>-8.4829900706354096</v>
      </c>
      <c r="J15">
        <f t="shared" si="8"/>
        <v>0</v>
      </c>
      <c r="K15" s="1">
        <f t="shared" si="0"/>
        <v>1.4318483026217681E-2</v>
      </c>
      <c r="L15" s="1">
        <f t="shared" si="1"/>
        <v>2.1271277199617362E-2</v>
      </c>
      <c r="N15" s="25">
        <f t="shared" si="2"/>
        <v>13.029032000568991</v>
      </c>
      <c r="O15" s="19">
        <f>L15*E15*1000/COS(G15*3.14/180)-J15*E15*L2*1000/COS(3.14*G2/180)</f>
        <v>19.355692276851315</v>
      </c>
      <c r="P15" s="20">
        <f t="shared" si="3"/>
        <v>0</v>
      </c>
    </row>
    <row r="16" spans="1:22" x14ac:dyDescent="0.25">
      <c r="A16">
        <f>'Airfoil Interpolation'!B18</f>
        <v>1.2999999999999999E-3</v>
      </c>
      <c r="B16" s="7">
        <f>'Airfoil Interpolation'!C18</f>
        <v>8.5199999999999998E-3</v>
      </c>
      <c r="D16">
        <f t="shared" si="4"/>
        <v>0</v>
      </c>
      <c r="E16">
        <f t="shared" si="5"/>
        <v>0.9</v>
      </c>
      <c r="F16">
        <f t="shared" si="6"/>
        <v>0</v>
      </c>
      <c r="G16">
        <f t="shared" si="7"/>
        <v>-8.4829900706354096</v>
      </c>
      <c r="J16">
        <f t="shared" si="8"/>
        <v>0</v>
      </c>
      <c r="K16" s="1">
        <f t="shared" si="0"/>
        <v>2.5419939988065854E-3</v>
      </c>
      <c r="L16" s="1">
        <f t="shared" si="1"/>
        <v>8.3262079891051159E-3</v>
      </c>
      <c r="N16" s="25">
        <f t="shared" si="2"/>
        <v>2.3130747227245987</v>
      </c>
      <c r="O16" s="19">
        <f>L16*E16*1000/COS(G16*3.14/180)-J16*E16*L2*1000/COS(3.14*G2/180)</f>
        <v>7.5763913072920044</v>
      </c>
      <c r="P16" s="20">
        <f t="shared" si="3"/>
        <v>0</v>
      </c>
    </row>
    <row r="17" spans="1:22" x14ac:dyDescent="0.25">
      <c r="A17">
        <f>'Airfoil Interpolation'!B19</f>
        <v>3.2000000000000003E-4</v>
      </c>
      <c r="B17" s="7">
        <f>'Airfoil Interpolation'!C19</f>
        <v>-1.5399999999999999E-3</v>
      </c>
      <c r="D17">
        <f t="shared" si="4"/>
        <v>0</v>
      </c>
      <c r="E17">
        <f t="shared" si="5"/>
        <v>0.9</v>
      </c>
      <c r="F17">
        <f t="shared" si="6"/>
        <v>0</v>
      </c>
      <c r="G17">
        <f t="shared" si="7"/>
        <v>-8.4829900706354096</v>
      </c>
      <c r="J17">
        <f t="shared" si="8"/>
        <v>0</v>
      </c>
      <c r="K17" s="1">
        <f t="shared" si="0"/>
        <v>8.944266132560123E-5</v>
      </c>
      <c r="L17" s="1">
        <f t="shared" si="1"/>
        <v>-1.5877026488356639E-3</v>
      </c>
      <c r="N17" s="25">
        <f t="shared" si="2"/>
        <v>8.1387902230530357E-2</v>
      </c>
      <c r="O17" s="19">
        <f>L17*E17*1000/COS(G17*3.14/180)-J17*E17*L2*1000/COS(3.14*G2/180)</f>
        <v>-1.4447220827227825</v>
      </c>
      <c r="P17" s="20">
        <f t="shared" si="3"/>
        <v>0</v>
      </c>
    </row>
    <row r="18" spans="1:22" x14ac:dyDescent="0.25">
      <c r="A18">
        <f>'Airfoil Interpolation'!B20</f>
        <v>7.6600000000000001E-3</v>
      </c>
      <c r="B18" s="7">
        <f>'Airfoil Interpolation'!C20</f>
        <v>-1.282E-2</v>
      </c>
      <c r="D18">
        <f t="shared" si="4"/>
        <v>0</v>
      </c>
      <c r="E18">
        <f t="shared" si="5"/>
        <v>0.9</v>
      </c>
      <c r="F18">
        <f t="shared" si="6"/>
        <v>0</v>
      </c>
      <c r="G18">
        <f t="shared" si="7"/>
        <v>-8.4829900706354096</v>
      </c>
      <c r="J18">
        <f t="shared" si="8"/>
        <v>0</v>
      </c>
      <c r="K18" s="1">
        <f t="shared" si="0"/>
        <v>5.6860814472327447E-3</v>
      </c>
      <c r="L18" s="1">
        <f t="shared" si="1"/>
        <v>-1.3961882156503706E-2</v>
      </c>
      <c r="N18" s="25">
        <f t="shared" si="2"/>
        <v>5.1740213679190896</v>
      </c>
      <c r="O18" s="19">
        <f>L18*E18*1000/COS(G18*3.14/180)-J18*E18*L2*1000/COS(3.14*G2/180)</f>
        <v>-12.704544823091684</v>
      </c>
      <c r="P18" s="20">
        <f t="shared" si="3"/>
        <v>0</v>
      </c>
    </row>
    <row r="19" spans="1:22" x14ac:dyDescent="0.25">
      <c r="A19">
        <f>'Airfoil Interpolation'!B21</f>
        <v>3.3230000000000003E-2</v>
      </c>
      <c r="B19" s="7">
        <f>'Airfoil Interpolation'!C21</f>
        <v>-2.5870000000000001E-2</v>
      </c>
      <c r="D19">
        <f t="shared" si="4"/>
        <v>0</v>
      </c>
      <c r="E19">
        <f t="shared" si="5"/>
        <v>0.9</v>
      </c>
      <c r="F19">
        <f t="shared" si="6"/>
        <v>0</v>
      </c>
      <c r="G19">
        <f t="shared" si="7"/>
        <v>-8.4829900706354096</v>
      </c>
      <c r="J19">
        <f t="shared" si="8"/>
        <v>0</v>
      </c>
      <c r="K19" s="1">
        <f t="shared" si="0"/>
        <v>2.905250884326379E-2</v>
      </c>
      <c r="L19" s="1">
        <f t="shared" si="1"/>
        <v>-3.0823621940028488E-2</v>
      </c>
      <c r="N19" s="25">
        <f t="shared" si="2"/>
        <v>26.436185084872616</v>
      </c>
      <c r="O19" s="19">
        <f>L19*E19*1000/COS(G19*3.14/180)-J19*E19*L2*1000/COS(3.14*G2/180)</f>
        <v>-28.047800587165788</v>
      </c>
      <c r="P19" s="20">
        <f t="shared" si="3"/>
        <v>0</v>
      </c>
    </row>
    <row r="20" spans="1:22" x14ac:dyDescent="0.25">
      <c r="A20">
        <f>'Airfoil Interpolation'!B22</f>
        <v>9.7040000000000001E-2</v>
      </c>
      <c r="B20" s="7">
        <f>'Airfoil Interpolation'!C22</f>
        <v>-4.2229999999999997E-2</v>
      </c>
      <c r="D20">
        <f t="shared" si="4"/>
        <v>0</v>
      </c>
      <c r="E20">
        <f t="shared" si="5"/>
        <v>0.9</v>
      </c>
      <c r="F20">
        <f t="shared" si="6"/>
        <v>0</v>
      </c>
      <c r="G20">
        <f t="shared" si="7"/>
        <v>-8.4829900706354096</v>
      </c>
      <c r="J20">
        <f t="shared" si="8"/>
        <v>0</v>
      </c>
      <c r="K20" s="1">
        <f t="shared" si="0"/>
        <v>8.9752970987819411E-2</v>
      </c>
      <c r="L20" s="1">
        <f t="shared" si="1"/>
        <v>-5.6695828259415097E-2</v>
      </c>
      <c r="N20" s="25">
        <f t="shared" si="2"/>
        <v>81.670266955321623</v>
      </c>
      <c r="O20" s="19">
        <f>L20*E20*1000/COS(G20*3.14/180)-J20*E20*L2*1000/COS(3.14*G2/180)</f>
        <v>-51.590085300105514</v>
      </c>
      <c r="P20" s="20">
        <f t="shared" si="3"/>
        <v>0</v>
      </c>
    </row>
    <row r="21" spans="1:22" x14ac:dyDescent="0.25">
      <c r="A21">
        <f>'Airfoil Interpolation'!B23</f>
        <v>0.17948</v>
      </c>
      <c r="B21" s="7">
        <f>'Airfoil Interpolation'!C23</f>
        <v>-4.947E-2</v>
      </c>
      <c r="D21">
        <f t="shared" si="4"/>
        <v>0</v>
      </c>
      <c r="E21">
        <f t="shared" si="5"/>
        <v>0.9</v>
      </c>
      <c r="F21">
        <f t="shared" si="6"/>
        <v>0</v>
      </c>
      <c r="G21">
        <f t="shared" si="7"/>
        <v>-8.4829900706354096</v>
      </c>
      <c r="J21">
        <f t="shared" si="8"/>
        <v>0</v>
      </c>
      <c r="K21" s="1">
        <f t="shared" si="0"/>
        <v>0.17022448851851557</v>
      </c>
      <c r="L21" s="1">
        <f t="shared" si="1"/>
        <v>-7.6225223165703043E-2</v>
      </c>
      <c r="N21" s="25">
        <f t="shared" si="2"/>
        <v>154.8949217684054</v>
      </c>
      <c r="O21" s="19">
        <f>L21*E21*1000/COS(G21*3.14/180)-J21*E21*L2*1000/COS(3.14*G2/180)</f>
        <v>-69.36076049802061</v>
      </c>
      <c r="P21" s="20">
        <f t="shared" si="3"/>
        <v>0</v>
      </c>
    </row>
    <row r="22" spans="1:22" x14ac:dyDescent="0.25">
      <c r="A22">
        <f>'Airfoil Interpolation'!B24</f>
        <v>0.26478000000000002</v>
      </c>
      <c r="B22" s="7">
        <f>'Airfoil Interpolation'!C24</f>
        <v>-5.1580000000000001E-2</v>
      </c>
      <c r="D22">
        <f t="shared" si="4"/>
        <v>0</v>
      </c>
      <c r="E22">
        <f t="shared" si="5"/>
        <v>0.9</v>
      </c>
      <c r="F22">
        <f t="shared" si="6"/>
        <v>0</v>
      </c>
      <c r="G22">
        <f t="shared" si="7"/>
        <v>-8.4829900706354096</v>
      </c>
      <c r="J22">
        <f t="shared" si="8"/>
        <v>0</v>
      </c>
      <c r="K22" s="1">
        <f t="shared" si="0"/>
        <v>0.25428112359964261</v>
      </c>
      <c r="L22" s="1">
        <f t="shared" si="1"/>
        <v>-9.1050960495959732E-2</v>
      </c>
      <c r="N22" s="25">
        <f t="shared" si="2"/>
        <v>231.38183636172124</v>
      </c>
      <c r="O22" s="19">
        <f>L22*E22*1000/COS(G22*3.14/180)-J22*E22*L2*1000/COS(3.14*G2/180)</f>
        <v>-82.851366014977401</v>
      </c>
      <c r="P22" s="20">
        <f t="shared" si="3"/>
        <v>0</v>
      </c>
    </row>
    <row r="23" spans="1:22" x14ac:dyDescent="0.25">
      <c r="A23">
        <f>'Airfoil Interpolation'!B25</f>
        <v>0.35043999999999997</v>
      </c>
      <c r="B23" s="7">
        <f>'Airfoil Interpolation'!C25</f>
        <v>-5.135E-2</v>
      </c>
      <c r="D23">
        <f t="shared" si="4"/>
        <v>0</v>
      </c>
      <c r="E23">
        <f t="shared" si="5"/>
        <v>0.9</v>
      </c>
      <c r="F23">
        <f t="shared" si="6"/>
        <v>0</v>
      </c>
      <c r="G23">
        <f t="shared" si="7"/>
        <v>-8.4829900706354096</v>
      </c>
      <c r="J23">
        <f t="shared" si="8"/>
        <v>0</v>
      </c>
      <c r="K23" s="1">
        <f t="shared" si="0"/>
        <v>0.33903883738272172</v>
      </c>
      <c r="L23" s="1">
        <f t="shared" si="1"/>
        <v>-0.10359036330615654</v>
      </c>
      <c r="N23" s="25">
        <f t="shared" si="2"/>
        <v>308.50669401268675</v>
      </c>
      <c r="O23" s="19">
        <f>L23*E23*1000/COS(G23*3.14/180)-J23*E23*L2*1000/COS(3.14*G2/180)</f>
        <v>-94.261532872942098</v>
      </c>
      <c r="P23" s="20">
        <f t="shared" si="3"/>
        <v>0</v>
      </c>
    </row>
    <row r="24" spans="1:22" x14ac:dyDescent="0.25">
      <c r="A24">
        <f>'Airfoil Interpolation'!B26</f>
        <v>0.43622</v>
      </c>
      <c r="B24" s="7">
        <f>'Airfoil Interpolation'!C26</f>
        <v>-4.8860000000000001E-2</v>
      </c>
      <c r="D24">
        <f t="shared" si="4"/>
        <v>0</v>
      </c>
      <c r="E24">
        <f t="shared" si="5"/>
        <v>0.9</v>
      </c>
      <c r="F24">
        <f t="shared" si="6"/>
        <v>0</v>
      </c>
      <c r="G24">
        <f t="shared" si="7"/>
        <v>-8.4829900706354096</v>
      </c>
      <c r="J24">
        <f t="shared" si="8"/>
        <v>0</v>
      </c>
      <c r="K24" s="1">
        <f t="shared" si="0"/>
        <v>0.42424845755884738</v>
      </c>
      <c r="L24" s="1">
        <f t="shared" si="1"/>
        <v>-0.11388765460966672</v>
      </c>
      <c r="N24" s="25">
        <f t="shared" si="2"/>
        <v>386.04276162531409</v>
      </c>
      <c r="O24" s="19">
        <f>L24*E24*1000/COS(G24*3.14/180)-J24*E24*L2*1000/COS(3.14*G2/180)</f>
        <v>-103.63150158170517</v>
      </c>
      <c r="P24" s="20">
        <f t="shared" si="3"/>
        <v>0</v>
      </c>
    </row>
    <row r="25" spans="1:22" x14ac:dyDescent="0.25">
      <c r="A25">
        <f>'Airfoil Interpolation'!B27</f>
        <v>0.52234000000000003</v>
      </c>
      <c r="B25" s="7">
        <f>'Airfoil Interpolation'!C27</f>
        <v>-4.4549999999999999E-2</v>
      </c>
      <c r="D25">
        <f t="shared" si="4"/>
        <v>0</v>
      </c>
      <c r="E25">
        <f t="shared" si="5"/>
        <v>0.9</v>
      </c>
      <c r="F25">
        <f t="shared" si="6"/>
        <v>0</v>
      </c>
      <c r="G25">
        <f t="shared" si="7"/>
        <v>-8.4829900706354096</v>
      </c>
      <c r="J25">
        <f t="shared" si="8"/>
        <v>0</v>
      </c>
      <c r="K25" s="1">
        <f t="shared" si="0"/>
        <v>0.51006270541607268</v>
      </c>
      <c r="L25" s="1">
        <f t="shared" si="1"/>
        <v>-0.12241562997756479</v>
      </c>
      <c r="N25" s="25">
        <f t="shared" si="2"/>
        <v>464.12900717166895</v>
      </c>
      <c r="O25" s="19">
        <f>L25*E25*1000/COS(G25*3.14/180)-J25*E25*L2*1000/COS(3.14*G2/180)</f>
        <v>-111.39149010597546</v>
      </c>
      <c r="P25" s="20">
        <f t="shared" si="3"/>
        <v>0</v>
      </c>
    </row>
    <row r="26" spans="1:22" x14ac:dyDescent="0.25">
      <c r="A26">
        <f>'Airfoil Interpolation'!B28</f>
        <v>0.60845000000000005</v>
      </c>
      <c r="B26" s="7">
        <f>'Airfoil Interpolation'!C28</f>
        <v>-3.884E-2</v>
      </c>
      <c r="D26">
        <f t="shared" si="4"/>
        <v>0</v>
      </c>
      <c r="E26">
        <f t="shared" si="5"/>
        <v>0.9</v>
      </c>
      <c r="F26">
        <f t="shared" si="6"/>
        <v>0</v>
      </c>
      <c r="G26">
        <f t="shared" si="7"/>
        <v>-8.4829900706354096</v>
      </c>
      <c r="J26">
        <f t="shared" si="8"/>
        <v>0</v>
      </c>
      <c r="K26" s="1">
        <f t="shared" si="0"/>
        <v>0.59607348073407251</v>
      </c>
      <c r="L26" s="1">
        <f t="shared" si="1"/>
        <v>-0.12954211463768675</v>
      </c>
      <c r="N26" s="25">
        <f t="shared" si="2"/>
        <v>542.3940818978142</v>
      </c>
      <c r="O26" s="19">
        <f>L26*E26*1000/COS(G26*3.14/180)-J26*E26*L2*1000/COS(3.14*G2/180)</f>
        <v>-117.87619917175283</v>
      </c>
      <c r="P26" s="20">
        <f t="shared" si="3"/>
        <v>0</v>
      </c>
    </row>
    <row r="27" spans="1:22" x14ac:dyDescent="0.25">
      <c r="A27">
        <f>'Airfoil Interpolation'!B29</f>
        <v>0.69442000000000004</v>
      </c>
      <c r="B27" s="7">
        <f>'Airfoil Interpolation'!C29</f>
        <v>-3.1780000000000003E-2</v>
      </c>
      <c r="D27">
        <f t="shared" si="4"/>
        <v>0</v>
      </c>
      <c r="E27">
        <f t="shared" si="5"/>
        <v>0.9</v>
      </c>
      <c r="F27">
        <f t="shared" si="6"/>
        <v>0</v>
      </c>
      <c r="G27">
        <f t="shared" si="7"/>
        <v>-8.4829900706354096</v>
      </c>
      <c r="J27">
        <f t="shared" si="8"/>
        <v>0</v>
      </c>
      <c r="K27" s="1">
        <f t="shared" si="0"/>
        <v>0.68214483223519684</v>
      </c>
      <c r="L27" s="1">
        <f t="shared" si="1"/>
        <v>-0.13529772938894311</v>
      </c>
      <c r="N27" s="25">
        <f t="shared" si="2"/>
        <v>620.71427761875736</v>
      </c>
      <c r="O27" s="19">
        <f>L27*E27*1000/COS(G27*3.14/180)-J27*E27*L2*1000/COS(3.14*G2/180)</f>
        <v>-123.11349202182335</v>
      </c>
      <c r="P27" s="20">
        <f t="shared" si="3"/>
        <v>0</v>
      </c>
    </row>
    <row r="28" spans="1:22" x14ac:dyDescent="0.25">
      <c r="A28">
        <f>'Airfoil Interpolation'!B30</f>
        <v>0.78025</v>
      </c>
      <c r="B28" s="7">
        <f>'Airfoil Interpolation'!C30</f>
        <v>-2.383E-2</v>
      </c>
      <c r="D28">
        <f t="shared" si="4"/>
        <v>0</v>
      </c>
      <c r="E28">
        <f t="shared" si="5"/>
        <v>0.9</v>
      </c>
      <c r="F28">
        <f t="shared" si="6"/>
        <v>0</v>
      </c>
      <c r="G28">
        <f t="shared" si="7"/>
        <v>-8.4829900706354096</v>
      </c>
      <c r="J28">
        <f t="shared" si="8"/>
        <v>0</v>
      </c>
      <c r="K28" s="1">
        <f t="shared" si="0"/>
        <v>0.76820893680694435</v>
      </c>
      <c r="L28" s="1">
        <f t="shared" si="1"/>
        <v>-0.14014247423133386</v>
      </c>
      <c r="N28" s="25">
        <f t="shared" si="2"/>
        <v>699.02787903256728</v>
      </c>
      <c r="O28" s="19">
        <f>L28*E28*1000/COS(G28*3.14/180)-J28*E28*L2*1000/COS(3.14*G2/180)</f>
        <v>-127.52194335500728</v>
      </c>
      <c r="P28" s="20">
        <f t="shared" si="3"/>
        <v>0</v>
      </c>
    </row>
    <row r="29" spans="1:22" x14ac:dyDescent="0.25">
      <c r="A29">
        <f>'Airfoil Interpolation'!B31</f>
        <v>0.86600999999999995</v>
      </c>
      <c r="B29" s="7">
        <f>'Airfoil Interpolation'!C31</f>
        <v>-1.478E-2</v>
      </c>
      <c r="D29">
        <f t="shared" si="4"/>
        <v>0</v>
      </c>
      <c r="E29">
        <f t="shared" si="5"/>
        <v>0.9</v>
      </c>
      <c r="F29">
        <f t="shared" si="6"/>
        <v>0</v>
      </c>
      <c r="G29">
        <f t="shared" si="7"/>
        <v>-8.4829900706354096</v>
      </c>
      <c r="J29">
        <f t="shared" si="8"/>
        <v>0</v>
      </c>
      <c r="K29" s="1">
        <f t="shared" si="0"/>
        <v>0.85436599212854347</v>
      </c>
      <c r="L29" s="1">
        <f t="shared" si="1"/>
        <v>-0.14387678411929181</v>
      </c>
      <c r="N29" s="25">
        <f t="shared" si="2"/>
        <v>777.42606051621249</v>
      </c>
      <c r="O29" s="19">
        <f>L29*E29*1000/COS(G29*3.14/180)-J29*E29*L2*1000/COS(3.14*G2/180)</f>
        <v>-130.91995995642776</v>
      </c>
      <c r="P29" s="20">
        <f t="shared" si="3"/>
        <v>0</v>
      </c>
    </row>
    <row r="30" spans="1:22" x14ac:dyDescent="0.25">
      <c r="A30">
        <f>'Airfoil Interpolation'!B32</f>
        <v>0.95123000000000002</v>
      </c>
      <c r="B30" s="7">
        <f>'Airfoil Interpolation'!C32</f>
        <v>-5.2100000000000002E-3</v>
      </c>
      <c r="D30">
        <f t="shared" si="4"/>
        <v>0</v>
      </c>
      <c r="E30">
        <f t="shared" si="5"/>
        <v>0.9</v>
      </c>
      <c r="F30">
        <f t="shared" si="6"/>
        <v>0</v>
      </c>
      <c r="G30">
        <f t="shared" si="7"/>
        <v>-8.4829900706354096</v>
      </c>
      <c r="J30">
        <f t="shared" si="8"/>
        <v>0</v>
      </c>
      <c r="K30" s="1">
        <f t="shared" si="0"/>
        <v>0.94006561883934636</v>
      </c>
      <c r="L30" s="1">
        <f t="shared" si="1"/>
        <v>-0.14701059578733958</v>
      </c>
      <c r="N30" s="25">
        <f t="shared" si="2"/>
        <v>855.40800712377995</v>
      </c>
      <c r="O30" s="19">
        <f>L30*E30*1000/COS(G30*3.14/180)-J30*E30*L2*1000/COS(3.14*G2/180)</f>
        <v>-133.77155620667219</v>
      </c>
      <c r="P30" s="20">
        <f t="shared" si="3"/>
        <v>0</v>
      </c>
    </row>
    <row r="31" spans="1:22" ht="15.75" thickBot="1" x14ac:dyDescent="0.3">
      <c r="A31">
        <f>'Airfoil Interpolation'!B33</f>
        <v>1</v>
      </c>
      <c r="B31" s="7">
        <f>'Airfoil Interpolation'!C33</f>
        <v>1.3999999999999999E-4</v>
      </c>
      <c r="D31">
        <f t="shared" si="4"/>
        <v>0</v>
      </c>
      <c r="E31">
        <f t="shared" si="5"/>
        <v>0.9</v>
      </c>
      <c r="F31">
        <f t="shared" si="6"/>
        <v>0</v>
      </c>
      <c r="G31">
        <f t="shared" si="7"/>
        <v>-8.4829900706354096</v>
      </c>
      <c r="J31">
        <f t="shared" si="8"/>
        <v>0</v>
      </c>
      <c r="K31" s="1">
        <f t="shared" si="0"/>
        <v>0.98909141261802058</v>
      </c>
      <c r="L31" s="1">
        <f t="shared" si="1"/>
        <v>-0.14893077761144999</v>
      </c>
      <c r="N31" s="26">
        <f t="shared" si="2"/>
        <v>900.01878291797902</v>
      </c>
      <c r="O31" s="27">
        <f>L31*E31*1000/COS(G31*3.14/180)-J31*E31*L2*1000/COS(3.14*G2/180)</f>
        <v>-135.51881605168765</v>
      </c>
      <c r="P31" s="28">
        <f t="shared" si="3"/>
        <v>0</v>
      </c>
      <c r="V31" s="5"/>
    </row>
    <row r="34" spans="2:2" x14ac:dyDescent="0.25">
      <c r="B34" s="2"/>
    </row>
  </sheetData>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90" zoomScaleNormal="90" workbookViewId="0">
      <selection activeCell="B46" sqref="B46"/>
    </sheetView>
  </sheetViews>
  <sheetFormatPr defaultRowHeight="15" x14ac:dyDescent="0.25"/>
  <sheetData>
    <row r="1" spans="1:16" ht="15.75" thickBot="1" x14ac:dyDescent="0.3">
      <c r="A1">
        <v>2</v>
      </c>
      <c r="D1" t="s">
        <v>0</v>
      </c>
      <c r="E1" t="s">
        <v>1</v>
      </c>
      <c r="F1" t="s">
        <v>2</v>
      </c>
      <c r="G1" t="s">
        <v>5</v>
      </c>
      <c r="J1" t="s">
        <v>10</v>
      </c>
      <c r="K1" t="s">
        <v>9</v>
      </c>
      <c r="N1" s="6" t="s">
        <v>6</v>
      </c>
      <c r="O1" s="6" t="s">
        <v>7</v>
      </c>
      <c r="P1" s="6" t="s">
        <v>8</v>
      </c>
    </row>
    <row r="2" spans="1:16" x14ac:dyDescent="0.25">
      <c r="A2">
        <f>'Airfoil Interpolation'!I4</f>
        <v>1</v>
      </c>
      <c r="B2">
        <f>'Airfoil Interpolation'!J4</f>
        <v>2.1583333333333329E-4</v>
      </c>
      <c r="D2" s="4">
        <f>'Loft Viewer'!C5</f>
        <v>0.125</v>
      </c>
      <c r="E2" s="4">
        <f>'Loft Viewer'!C6</f>
        <v>0.89557291666666672</v>
      </c>
      <c r="F2" s="4">
        <f>'Loft Viewer'!C7</f>
        <v>7.8125E-3</v>
      </c>
      <c r="G2" s="4">
        <f>-'Loft Viewer'!C8</f>
        <v>-8.4970932331976048</v>
      </c>
      <c r="J2">
        <f>'Loft Viewer'!B2</f>
        <v>0</v>
      </c>
      <c r="K2" s="1">
        <f>((A2)*COS(3.14*G2/180)-B2*SIN(3.14*G2/180))</f>
        <v>0.98906634234776802</v>
      </c>
      <c r="L2" s="1">
        <f>((A2)*SIN(3.14*G2/180)+B2*COS(3.14*G2/180))/COS(3.14*G2/180)</f>
        <v>-0.14910644246364491</v>
      </c>
      <c r="N2" s="22">
        <f>K2*E2*1000/COS(G2*3.14/180)+F2*1000</f>
        <v>903.41427983949109</v>
      </c>
      <c r="O2" s="23">
        <f>L2*E2*1000/COS(G2*3.14/180)-J2*E2*L2*1000/COS(3.14*G2/180)</f>
        <v>-135.01621634296876</v>
      </c>
      <c r="P2" s="24">
        <f>D2*1000</f>
        <v>125</v>
      </c>
    </row>
    <row r="3" spans="1:16" x14ac:dyDescent="0.25">
      <c r="A3">
        <f>'Airfoil Interpolation'!I5</f>
        <v>0.95180416666666667</v>
      </c>
      <c r="B3">
        <f>'Airfoil Interpolation'!J5</f>
        <v>5.626666666666667E-3</v>
      </c>
      <c r="D3">
        <f>D2</f>
        <v>0.125</v>
      </c>
      <c r="E3">
        <f>E2</f>
        <v>0.89557291666666672</v>
      </c>
      <c r="F3">
        <f>F2</f>
        <v>7.8125E-3</v>
      </c>
      <c r="G3">
        <f>G2</f>
        <v>-8.4970932331976048</v>
      </c>
      <c r="J3">
        <f>J2</f>
        <v>0</v>
      </c>
      <c r="K3" s="1">
        <f t="shared" ref="K3:K31" si="0">((A3)*COS(3.14*G3/180)-B3*SIN(3.14*G3/180))</f>
        <v>0.94219810027172668</v>
      </c>
      <c r="L3" s="1">
        <f t="shared" ref="L3:L31" si="1">((A3)*SIN(3.14*G3/180)+B3*COS(3.14*G3/180))/COS(3.14*G3/180)</f>
        <v>-0.1364988976130464</v>
      </c>
      <c r="N3" s="25">
        <f t="shared" ref="N3:N31" si="2">K3*E3*1000/COS(G3*3.14/180)+F3*1000</f>
        <v>860.97498206537705</v>
      </c>
      <c r="O3" s="19">
        <f>L3*E3*1000/COS(G3*3.14/180)-J3*E3*L2*1000/COS(3.14*G2/180)</f>
        <v>-123.60005635030362</v>
      </c>
      <c r="P3" s="20">
        <f t="shared" ref="P3:P31" si="3">D3*1000</f>
        <v>125</v>
      </c>
    </row>
    <row r="4" spans="1:16" x14ac:dyDescent="0.25">
      <c r="A4">
        <f>'Airfoil Interpolation'!I6</f>
        <v>0.86676249999999999</v>
      </c>
      <c r="B4">
        <f>'Airfoil Interpolation'!J6</f>
        <v>1.6128333333333335E-2</v>
      </c>
      <c r="D4">
        <f t="shared" ref="D4:G19" si="4">D3</f>
        <v>0.125</v>
      </c>
      <c r="E4">
        <f t="shared" si="4"/>
        <v>0.89557291666666672</v>
      </c>
      <c r="F4">
        <f t="shared" si="4"/>
        <v>7.8125E-3</v>
      </c>
      <c r="G4">
        <f t="shared" si="4"/>
        <v>-8.4970932331976048</v>
      </c>
      <c r="J4">
        <f t="shared" ref="J4:J31" si="5">J3</f>
        <v>0</v>
      </c>
      <c r="K4" s="1">
        <f t="shared" si="0"/>
        <v>0.85963989815962949</v>
      </c>
      <c r="L4" s="1">
        <f t="shared" si="1"/>
        <v>-0.11329861574214499</v>
      </c>
      <c r="N4" s="25">
        <f t="shared" si="2"/>
        <v>786.21834584577675</v>
      </c>
      <c r="O4" s="19">
        <f>L4*E4*1000/COS(G4*3.14/180)-J4*E4*L2*1000/COS(3.14*G2/180)</f>
        <v>-102.5921493508242</v>
      </c>
      <c r="P4" s="20">
        <f t="shared" si="3"/>
        <v>125</v>
      </c>
    </row>
    <row r="5" spans="1:16" x14ac:dyDescent="0.25">
      <c r="A5">
        <f>'Airfoil Interpolation'!I7</f>
        <v>0.78148666666666666</v>
      </c>
      <c r="B5">
        <f>'Airfoil Interpolation'!J7</f>
        <v>2.8204166666666666E-2</v>
      </c>
      <c r="D5">
        <f t="shared" si="4"/>
        <v>0.125</v>
      </c>
      <c r="E5">
        <f t="shared" si="4"/>
        <v>0.89557291666666672</v>
      </c>
      <c r="F5">
        <f t="shared" si="4"/>
        <v>7.8125E-3</v>
      </c>
      <c r="G5">
        <f t="shared" si="4"/>
        <v>-8.4970932331976048</v>
      </c>
      <c r="J5">
        <f t="shared" si="5"/>
        <v>0</v>
      </c>
      <c r="K5" s="1">
        <f t="shared" si="0"/>
        <v>0.77708257775443546</v>
      </c>
      <c r="L5" s="1">
        <f t="shared" si="1"/>
        <v>-8.8489200904994528E-2</v>
      </c>
      <c r="N5" s="25">
        <f t="shared" si="2"/>
        <v>711.46250801374458</v>
      </c>
      <c r="O5" s="19">
        <f>L5*E5*1000/COS(G5*3.14/180)-J5*E5*L2*1000/COS(3.14*G2/180)</f>
        <v>-80.127168860045728</v>
      </c>
      <c r="P5" s="20">
        <f t="shared" si="3"/>
        <v>125</v>
      </c>
    </row>
    <row r="6" spans="1:16" x14ac:dyDescent="0.25">
      <c r="A6">
        <f>'Airfoil Interpolation'!I8</f>
        <v>0.6962491666666667</v>
      </c>
      <c r="B6">
        <f>'Airfoil Interpolation'!J8</f>
        <v>4.1675833333333329E-2</v>
      </c>
      <c r="D6">
        <f t="shared" si="4"/>
        <v>0.125</v>
      </c>
      <c r="E6">
        <f t="shared" si="4"/>
        <v>0.89557291666666672</v>
      </c>
      <c r="F6">
        <f t="shared" si="4"/>
        <v>7.8125E-3</v>
      </c>
      <c r="G6">
        <f t="shared" si="4"/>
        <v>-8.4970932331976048</v>
      </c>
      <c r="J6">
        <f t="shared" si="5"/>
        <v>0</v>
      </c>
      <c r="K6" s="1">
        <f t="shared" si="0"/>
        <v>0.69476931381192986</v>
      </c>
      <c r="L6" s="1">
        <f t="shared" si="1"/>
        <v>-6.2289676755082936E-2</v>
      </c>
      <c r="N6" s="25">
        <f t="shared" si="2"/>
        <v>636.92766385322534</v>
      </c>
      <c r="O6" s="19">
        <f>L6*E6*1000/COS(G6*3.14/180)-J6*E6*L2*1000/COS(3.14*G2/180)</f>
        <v>-56.403441284895663</v>
      </c>
      <c r="P6" s="20">
        <f t="shared" si="3"/>
        <v>125</v>
      </c>
    </row>
    <row r="7" spans="1:16" x14ac:dyDescent="0.25">
      <c r="A7">
        <f>'Airfoil Interpolation'!I9</f>
        <v>0.61117916666666672</v>
      </c>
      <c r="B7">
        <f>'Airfoil Interpolation'!J9</f>
        <v>5.6628333333333336E-2</v>
      </c>
      <c r="D7">
        <f t="shared" si="4"/>
        <v>0.125</v>
      </c>
      <c r="E7">
        <f t="shared" si="4"/>
        <v>0.89557291666666672</v>
      </c>
      <c r="F7">
        <f t="shared" si="4"/>
        <v>7.8125E-3</v>
      </c>
      <c r="G7">
        <f t="shared" si="4"/>
        <v>-8.4970932331976048</v>
      </c>
      <c r="J7">
        <f t="shared" si="5"/>
        <v>0</v>
      </c>
      <c r="K7" s="1">
        <f t="shared" si="0"/>
        <v>0.61284040983202093</v>
      </c>
      <c r="L7" s="1">
        <f t="shared" si="1"/>
        <v>-3.4634330753033994E-2</v>
      </c>
      <c r="N7" s="25">
        <f t="shared" si="2"/>
        <v>562.7408584964362</v>
      </c>
      <c r="O7" s="19">
        <f>L7*E7*1000/COS(G7*3.14/180)-J7*E7*L2*1000/COS(3.14*G2/180)</f>
        <v>-31.361463774348465</v>
      </c>
      <c r="P7" s="20">
        <f t="shared" si="3"/>
        <v>125</v>
      </c>
    </row>
    <row r="8" spans="1:16" x14ac:dyDescent="0.25">
      <c r="A8">
        <f>'Airfoil Interpolation'!I10</f>
        <v>0.52624916666666666</v>
      </c>
      <c r="B8">
        <f>'Airfoil Interpolation'!J10</f>
        <v>7.1656666666666674E-2</v>
      </c>
      <c r="D8">
        <f t="shared" si="4"/>
        <v>0.125</v>
      </c>
      <c r="E8">
        <f t="shared" si="4"/>
        <v>0.89557291666666672</v>
      </c>
      <c r="F8">
        <f t="shared" si="4"/>
        <v>7.8125E-3</v>
      </c>
      <c r="G8">
        <f t="shared" si="4"/>
        <v>-8.4970932331976048</v>
      </c>
      <c r="J8">
        <f t="shared" si="5"/>
        <v>0</v>
      </c>
      <c r="K8" s="1">
        <f t="shared" si="0"/>
        <v>0.53106117011403653</v>
      </c>
      <c r="L8" s="1">
        <f t="shared" si="1"/>
        <v>-6.9240565362632799E-3</v>
      </c>
      <c r="N8" s="25">
        <f t="shared" si="2"/>
        <v>488.68957446275647</v>
      </c>
      <c r="O8" s="19">
        <f>L8*E8*1000/COS(G8*3.14/180)-J8*E8*L2*1000/COS(3.14*G2/180)</f>
        <v>-6.2697486428127158</v>
      </c>
      <c r="P8" s="20">
        <f t="shared" si="3"/>
        <v>125</v>
      </c>
    </row>
    <row r="9" spans="1:16" x14ac:dyDescent="0.25">
      <c r="A9">
        <f>'Airfoil Interpolation'!I11</f>
        <v>0.44166250000000001</v>
      </c>
      <c r="B9">
        <f>'Airfoil Interpolation'!J11</f>
        <v>8.3905000000000007E-2</v>
      </c>
      <c r="D9">
        <f t="shared" si="4"/>
        <v>0.125</v>
      </c>
      <c r="E9">
        <f t="shared" si="4"/>
        <v>0.89557291666666672</v>
      </c>
      <c r="F9">
        <f t="shared" si="4"/>
        <v>7.8125E-3</v>
      </c>
      <c r="G9">
        <f t="shared" si="4"/>
        <v>-8.4970932331976048</v>
      </c>
      <c r="J9">
        <f t="shared" si="5"/>
        <v>0</v>
      </c>
      <c r="K9" s="1">
        <f t="shared" si="0"/>
        <v>0.44921093493706449</v>
      </c>
      <c r="L9" s="1">
        <f t="shared" si="1"/>
        <v>1.7954950365817117E-2</v>
      </c>
      <c r="N9" s="25">
        <f t="shared" si="2"/>
        <v>414.5740038825557</v>
      </c>
      <c r="O9" s="19">
        <f>L9*E9*1000/COS(G9*3.14/180)-J9*E9*L2*1000/COS(3.14*G2/180)</f>
        <v>16.258247618036354</v>
      </c>
      <c r="P9" s="20">
        <f t="shared" si="3"/>
        <v>125</v>
      </c>
    </row>
    <row r="10" spans="1:16" x14ac:dyDescent="0.25">
      <c r="A10">
        <f>'Airfoil Interpolation'!I12</f>
        <v>0.35705083333333332</v>
      </c>
      <c r="B10">
        <f>'Airfoil Interpolation'!J12</f>
        <v>9.2109999999999997E-2</v>
      </c>
      <c r="D10">
        <f t="shared" si="4"/>
        <v>0.125</v>
      </c>
      <c r="E10">
        <f t="shared" si="4"/>
        <v>0.89557291666666672</v>
      </c>
      <c r="F10">
        <f t="shared" si="4"/>
        <v>7.8125E-3</v>
      </c>
      <c r="G10">
        <f t="shared" si="4"/>
        <v>-8.4970932331976048</v>
      </c>
      <c r="J10">
        <f t="shared" si="5"/>
        <v>0</v>
      </c>
      <c r="K10" s="1">
        <f t="shared" si="0"/>
        <v>0.36673883471056018</v>
      </c>
      <c r="L10" s="1">
        <f t="shared" si="1"/>
        <v>3.8794356991459091E-2</v>
      </c>
      <c r="N10" s="25">
        <f t="shared" si="2"/>
        <v>339.89533311247368</v>
      </c>
      <c r="O10" s="19">
        <f>L10*E10*1000/COS(G10*3.14/180)-J10*E10*L2*1000/COS(3.14*G2/180)</f>
        <v>35.128376815255976</v>
      </c>
      <c r="P10" s="20">
        <f t="shared" si="3"/>
        <v>125</v>
      </c>
    </row>
    <row r="11" spans="1:16" x14ac:dyDescent="0.25">
      <c r="A11">
        <f>'Airfoil Interpolation'!I13</f>
        <v>0.27315666666666666</v>
      </c>
      <c r="B11">
        <f>'Airfoil Interpolation'!J13</f>
        <v>9.3780833333333341E-2</v>
      </c>
      <c r="D11">
        <f t="shared" si="4"/>
        <v>0.125</v>
      </c>
      <c r="E11">
        <f t="shared" si="4"/>
        <v>0.89557291666666672</v>
      </c>
      <c r="F11">
        <f t="shared" si="4"/>
        <v>7.8125E-3</v>
      </c>
      <c r="G11">
        <f t="shared" si="4"/>
        <v>-8.4970932331976048</v>
      </c>
      <c r="J11">
        <f t="shared" si="5"/>
        <v>0</v>
      </c>
      <c r="K11" s="1">
        <f t="shared" si="0"/>
        <v>0.28401136911068975</v>
      </c>
      <c r="L11" s="1">
        <f t="shared" si="1"/>
        <v>5.2992458217550088E-2</v>
      </c>
      <c r="N11" s="25">
        <f t="shared" si="2"/>
        <v>264.9854284270275</v>
      </c>
      <c r="O11" s="19">
        <f>L11*E11*1000/COS(G11*3.14/180)-J11*E11*L2*1000/COS(3.14*G2/180)</f>
        <v>47.984789154841287</v>
      </c>
      <c r="P11" s="20">
        <f t="shared" si="3"/>
        <v>125</v>
      </c>
    </row>
    <row r="12" spans="1:16" x14ac:dyDescent="0.25">
      <c r="A12">
        <f>'Airfoil Interpolation'!I14</f>
        <v>0.18974166666666664</v>
      </c>
      <c r="B12">
        <f>'Airfoil Interpolation'!J14</f>
        <v>8.8599999999999998E-2</v>
      </c>
      <c r="D12">
        <f t="shared" si="4"/>
        <v>0.125</v>
      </c>
      <c r="E12">
        <f t="shared" si="4"/>
        <v>0.89557291666666672</v>
      </c>
      <c r="F12">
        <f t="shared" si="4"/>
        <v>7.8125E-3</v>
      </c>
      <c r="G12">
        <f t="shared" si="4"/>
        <v>-8.4970932331976048</v>
      </c>
      <c r="J12">
        <f t="shared" si="5"/>
        <v>0</v>
      </c>
      <c r="K12" s="1">
        <f t="shared" si="0"/>
        <v>0.20074592830755181</v>
      </c>
      <c r="L12" s="1">
        <f t="shared" si="1"/>
        <v>6.0267342519821694E-2</v>
      </c>
      <c r="N12" s="25">
        <f t="shared" si="2"/>
        <v>189.58838599467117</v>
      </c>
      <c r="O12" s="19">
        <f>L12*E12*1000/COS(G12*3.14/180)-J12*E12*L2*1000/COS(3.14*G2/180)</f>
        <v>54.572213122555212</v>
      </c>
      <c r="P12" s="20">
        <f t="shared" si="3"/>
        <v>125</v>
      </c>
    </row>
    <row r="13" spans="1:16" x14ac:dyDescent="0.25">
      <c r="A13">
        <f>'Airfoil Interpolation'!I15</f>
        <v>0.11025333333333334</v>
      </c>
      <c r="B13">
        <f>'Airfoil Interpolation'!J15</f>
        <v>7.2615833333333324E-2</v>
      </c>
      <c r="D13">
        <f t="shared" si="4"/>
        <v>0.125</v>
      </c>
      <c r="E13">
        <f t="shared" si="4"/>
        <v>0.89557291666666672</v>
      </c>
      <c r="F13">
        <f t="shared" si="4"/>
        <v>7.8125E-3</v>
      </c>
      <c r="G13">
        <f t="shared" si="4"/>
        <v>-8.4970932331976048</v>
      </c>
      <c r="J13">
        <f t="shared" si="5"/>
        <v>0</v>
      </c>
      <c r="K13" s="1">
        <f t="shared" si="0"/>
        <v>0.11976860721880385</v>
      </c>
      <c r="L13" s="1">
        <f t="shared" si="1"/>
        <v>5.6152554685797149E-2</v>
      </c>
      <c r="N13" s="25">
        <f t="shared" si="2"/>
        <v>116.26324106903736</v>
      </c>
      <c r="O13" s="19">
        <f>L13*E13*1000/COS(G13*3.14/180)-J13*E13*L2*1000/COS(3.14*G2/180)</f>
        <v>50.846263557770094</v>
      </c>
      <c r="P13" s="20">
        <f t="shared" si="3"/>
        <v>125</v>
      </c>
    </row>
    <row r="14" spans="1:16" x14ac:dyDescent="0.25">
      <c r="A14">
        <f>'Airfoil Interpolation'!I16</f>
        <v>4.2327499999999997E-2</v>
      </c>
      <c r="B14">
        <f>'Airfoil Interpolation'!J16</f>
        <v>4.6239166666666665E-2</v>
      </c>
      <c r="D14">
        <f t="shared" si="4"/>
        <v>0.125</v>
      </c>
      <c r="E14">
        <f t="shared" si="4"/>
        <v>0.89557291666666672</v>
      </c>
      <c r="F14">
        <f t="shared" si="4"/>
        <v>7.8125E-3</v>
      </c>
      <c r="G14">
        <f t="shared" si="4"/>
        <v>-8.4970932331976048</v>
      </c>
      <c r="J14">
        <f t="shared" si="5"/>
        <v>0</v>
      </c>
      <c r="K14" s="1">
        <f t="shared" si="0"/>
        <v>4.8692182066085839E-2</v>
      </c>
      <c r="L14" s="1">
        <f t="shared" si="1"/>
        <v>3.9918728037870062E-2</v>
      </c>
      <c r="N14" s="25">
        <f t="shared" si="2"/>
        <v>51.903379504745736</v>
      </c>
      <c r="O14" s="19">
        <f>L14*E14*1000/COS(G14*3.14/180)-J14*E14*L2*1000/COS(3.14*G2/180)</f>
        <v>36.146497306521852</v>
      </c>
      <c r="P14" s="20">
        <f t="shared" si="3"/>
        <v>125</v>
      </c>
    </row>
    <row r="15" spans="1:16" x14ac:dyDescent="0.25">
      <c r="A15">
        <f>'Airfoil Interpolation'!I17</f>
        <v>1.1035833333333333E-2</v>
      </c>
      <c r="B15">
        <f>'Airfoil Interpolation'!J17</f>
        <v>2.2235833333333333E-2</v>
      </c>
      <c r="D15">
        <f t="shared" si="4"/>
        <v>0.125</v>
      </c>
      <c r="E15">
        <f t="shared" si="4"/>
        <v>0.89557291666666672</v>
      </c>
      <c r="F15">
        <f t="shared" si="4"/>
        <v>7.8125E-3</v>
      </c>
      <c r="G15">
        <f t="shared" si="4"/>
        <v>-8.4970932331976048</v>
      </c>
      <c r="J15">
        <f t="shared" si="5"/>
        <v>0</v>
      </c>
      <c r="K15" s="1">
        <f t="shared" si="0"/>
        <v>1.4198715860064574E-2</v>
      </c>
      <c r="L15" s="1">
        <f t="shared" si="1"/>
        <v>2.0587937584683847E-2</v>
      </c>
      <c r="N15" s="25">
        <f t="shared" si="2"/>
        <v>20.669468892019786</v>
      </c>
      <c r="O15" s="19">
        <f>L15*E15*1000/COS(G15*3.14/180)-J15*E15*L2*1000/COS(3.14*G2/180)</f>
        <v>18.64242341954446</v>
      </c>
      <c r="P15" s="20">
        <f t="shared" si="3"/>
        <v>125</v>
      </c>
    </row>
    <row r="16" spans="1:16" x14ac:dyDescent="0.25">
      <c r="A16">
        <f>'Airfoil Interpolation'!I18</f>
        <v>1.2849999999999999E-3</v>
      </c>
      <c r="B16">
        <f>'Airfoil Interpolation'!J18</f>
        <v>8.2183333333333344E-3</v>
      </c>
      <c r="D16">
        <f t="shared" si="4"/>
        <v>0.125</v>
      </c>
      <c r="E16">
        <f t="shared" si="4"/>
        <v>0.89557291666666672</v>
      </c>
      <c r="F16">
        <f t="shared" si="4"/>
        <v>7.8125E-3</v>
      </c>
      <c r="G16">
        <f t="shared" si="4"/>
        <v>-8.4970932331976048</v>
      </c>
      <c r="J16">
        <f t="shared" si="5"/>
        <v>0</v>
      </c>
      <c r="K16" s="1">
        <f t="shared" si="0"/>
        <v>2.4846328413765115E-3</v>
      </c>
      <c r="L16" s="1">
        <f t="shared" si="1"/>
        <v>8.026454208934216E-3</v>
      </c>
      <c r="N16" s="25">
        <f t="shared" si="2"/>
        <v>10.062340581676606</v>
      </c>
      <c r="O16" s="19">
        <f>L16*E16*1000/COS(G16*3.14/180)-J16*E16*L2*1000/COS(3.14*G2/180)</f>
        <v>7.2679721951291407</v>
      </c>
      <c r="P16" s="20">
        <f t="shared" si="3"/>
        <v>125</v>
      </c>
    </row>
    <row r="17" spans="1:16" x14ac:dyDescent="0.25">
      <c r="A17">
        <f>'Airfoil Interpolation'!I19</f>
        <v>3.8666666666666656E-4</v>
      </c>
      <c r="B17">
        <f>'Airfoil Interpolation'!J19</f>
        <v>-1.8199999999999991E-3</v>
      </c>
      <c r="D17">
        <f t="shared" si="4"/>
        <v>0.125</v>
      </c>
      <c r="E17">
        <f t="shared" si="4"/>
        <v>0.89557291666666672</v>
      </c>
      <c r="F17">
        <f t="shared" si="4"/>
        <v>7.8125E-3</v>
      </c>
      <c r="G17">
        <f t="shared" si="4"/>
        <v>-8.4970932331976048</v>
      </c>
      <c r="J17">
        <f t="shared" si="5"/>
        <v>0</v>
      </c>
      <c r="K17" s="1">
        <f t="shared" si="0"/>
        <v>1.1364018361014827E-4</v>
      </c>
      <c r="L17" s="1">
        <f t="shared" si="1"/>
        <v>-1.8777379466414974E-3</v>
      </c>
      <c r="N17" s="25">
        <f t="shared" si="2"/>
        <v>7.9154014398174208</v>
      </c>
      <c r="O17" s="19">
        <f>L17*E17*1000/COS(G17*3.14/180)-J17*E17*L2*1000/COS(3.14*G2/180)</f>
        <v>-1.7002959003663758</v>
      </c>
      <c r="P17" s="20">
        <f t="shared" si="3"/>
        <v>125</v>
      </c>
    </row>
    <row r="18" spans="1:16" x14ac:dyDescent="0.25">
      <c r="A18">
        <f>'Airfoil Interpolation'!I20</f>
        <v>7.9191666666666664E-3</v>
      </c>
      <c r="B18">
        <f>'Airfoil Interpolation'!J20</f>
        <v>-1.2977499999999999E-2</v>
      </c>
      <c r="D18">
        <f t="shared" si="4"/>
        <v>0.125</v>
      </c>
      <c r="E18">
        <f t="shared" si="4"/>
        <v>0.89557291666666672</v>
      </c>
      <c r="F18">
        <f t="shared" si="4"/>
        <v>7.8125E-3</v>
      </c>
      <c r="G18">
        <f t="shared" si="4"/>
        <v>-8.4970932331976048</v>
      </c>
      <c r="J18">
        <f t="shared" si="5"/>
        <v>0</v>
      </c>
      <c r="K18" s="1">
        <f t="shared" si="0"/>
        <v>5.9157482862601321E-3</v>
      </c>
      <c r="L18" s="1">
        <f t="shared" si="1"/>
        <v>-1.4160007989082235E-2</v>
      </c>
      <c r="N18" s="25">
        <f t="shared" si="2"/>
        <v>13.16922327265798</v>
      </c>
      <c r="O18" s="19">
        <f>L18*E18*1000/COS(G18*3.14/180)-J18*E18*L2*1000/COS(3.14*G2/180)</f>
        <v>-12.821918828478758</v>
      </c>
      <c r="P18" s="20">
        <f t="shared" si="3"/>
        <v>125</v>
      </c>
    </row>
    <row r="19" spans="1:16" x14ac:dyDescent="0.25">
      <c r="A19">
        <f>'Airfoil Interpolation'!I21</f>
        <v>3.3426666666666667E-2</v>
      </c>
      <c r="B19">
        <f>'Airfoil Interpolation'!J21</f>
        <v>-2.5843333333333333E-2</v>
      </c>
      <c r="D19">
        <f t="shared" si="4"/>
        <v>0.125</v>
      </c>
      <c r="E19">
        <f t="shared" si="4"/>
        <v>0.89557291666666672</v>
      </c>
      <c r="F19">
        <f t="shared" si="4"/>
        <v>7.8125E-3</v>
      </c>
      <c r="G19">
        <f t="shared" si="4"/>
        <v>-8.4970932331976048</v>
      </c>
      <c r="J19">
        <f t="shared" si="5"/>
        <v>0</v>
      </c>
      <c r="K19" s="1">
        <f t="shared" si="0"/>
        <v>2.9243455934753994E-2</v>
      </c>
      <c r="L19" s="1">
        <f t="shared" si="1"/>
        <v>-3.083467927230699E-2</v>
      </c>
      <c r="N19" s="25">
        <f t="shared" si="2"/>
        <v>34.292514598064756</v>
      </c>
      <c r="O19" s="19">
        <f>L19*E19*1000/COS(G19*3.14/180)-J19*E19*L2*1000/COS(3.14*G2/180)</f>
        <v>-27.920870880618864</v>
      </c>
      <c r="P19" s="20">
        <f t="shared" si="3"/>
        <v>125</v>
      </c>
    </row>
    <row r="20" spans="1:16" x14ac:dyDescent="0.25">
      <c r="A20">
        <f>'Airfoil Interpolation'!I22</f>
        <v>9.6778333333333341E-2</v>
      </c>
      <c r="B20">
        <f>'Airfoil Interpolation'!J22</f>
        <v>-4.1889166666666665E-2</v>
      </c>
      <c r="D20">
        <f t="shared" ref="D20:G31" si="6">D19</f>
        <v>0.125</v>
      </c>
      <c r="E20">
        <f t="shared" si="6"/>
        <v>0.89557291666666672</v>
      </c>
      <c r="F20">
        <f t="shared" si="6"/>
        <v>7.8125E-3</v>
      </c>
      <c r="G20">
        <f t="shared" si="6"/>
        <v>-8.4970932331976048</v>
      </c>
      <c r="J20">
        <f t="shared" si="5"/>
        <v>0</v>
      </c>
      <c r="K20" s="1">
        <f t="shared" si="0"/>
        <v>8.9530710882230358E-2</v>
      </c>
      <c r="L20" s="1">
        <f t="shared" si="1"/>
        <v>-5.6340327647838556E-2</v>
      </c>
      <c r="N20" s="25">
        <f t="shared" si="2"/>
        <v>88.88275846829066</v>
      </c>
      <c r="O20" s="19">
        <f>L20*E20*1000/COS(G20*3.14/180)-J20*E20*L2*1000/COS(3.14*G2/180)</f>
        <v>-51.016292393864987</v>
      </c>
      <c r="P20" s="20">
        <f t="shared" si="3"/>
        <v>125</v>
      </c>
    </row>
    <row r="21" spans="1:16" x14ac:dyDescent="0.25">
      <c r="A21">
        <f>'Airfoil Interpolation'!I23</f>
        <v>0.17904416666666667</v>
      </c>
      <c r="B21">
        <f>'Airfoil Interpolation'!J23</f>
        <v>-4.9210833333333336E-2</v>
      </c>
      <c r="D21">
        <f t="shared" si="6"/>
        <v>0.125</v>
      </c>
      <c r="E21">
        <f t="shared" si="6"/>
        <v>0.89557291666666672</v>
      </c>
      <c r="F21">
        <f t="shared" si="6"/>
        <v>7.8125E-3</v>
      </c>
      <c r="G21">
        <f t="shared" si="6"/>
        <v>-8.4970932331976048</v>
      </c>
      <c r="J21">
        <f t="shared" si="5"/>
        <v>0</v>
      </c>
      <c r="K21" s="1">
        <f t="shared" si="0"/>
        <v>0.16981315606325209</v>
      </c>
      <c r="L21" s="1">
        <f t="shared" si="1"/>
        <v>-7.5946115768173478E-2</v>
      </c>
      <c r="N21" s="25">
        <f t="shared" si="2"/>
        <v>161.57869170904399</v>
      </c>
      <c r="O21" s="19">
        <f>L21*E21*1000/COS(G21*3.14/180)-J21*E21*L2*1000/COS(3.14*G2/180)</f>
        <v>-68.769377282031115</v>
      </c>
      <c r="P21" s="20">
        <f t="shared" si="3"/>
        <v>125</v>
      </c>
    </row>
    <row r="22" spans="1:16" x14ac:dyDescent="0.25">
      <c r="A22">
        <f>'Airfoil Interpolation'!I24</f>
        <v>0.26430166666666666</v>
      </c>
      <c r="B22">
        <f>'Airfoil Interpolation'!J24</f>
        <v>-5.1421666666666671E-2</v>
      </c>
      <c r="D22">
        <f t="shared" si="6"/>
        <v>0.125</v>
      </c>
      <c r="E22">
        <f t="shared" si="6"/>
        <v>0.89557291666666672</v>
      </c>
      <c r="F22">
        <f t="shared" si="6"/>
        <v>7.8125E-3</v>
      </c>
      <c r="G22">
        <f t="shared" si="6"/>
        <v>-8.4970932331976048</v>
      </c>
      <c r="J22">
        <f t="shared" si="5"/>
        <v>0</v>
      </c>
      <c r="K22" s="1">
        <f t="shared" si="0"/>
        <v>0.2538092554860103</v>
      </c>
      <c r="L22" s="1">
        <f t="shared" si="1"/>
        <v>-9.0887793030267672E-2</v>
      </c>
      <c r="N22" s="25">
        <f t="shared" si="2"/>
        <v>237.63734715174064</v>
      </c>
      <c r="O22" s="19">
        <f>L22*E22*1000/COS(G22*3.14/180)-J22*E22*L2*1000/COS(3.14*G2/180)</f>
        <v>-82.299099381313312</v>
      </c>
      <c r="P22" s="20">
        <f t="shared" si="3"/>
        <v>125</v>
      </c>
    </row>
    <row r="23" spans="1:16" x14ac:dyDescent="0.25">
      <c r="A23">
        <f>'Airfoil Interpolation'!I25</f>
        <v>0.35002</v>
      </c>
      <c r="B23">
        <f>'Airfoil Interpolation'!J25</f>
        <v>-5.1208333333333335E-2</v>
      </c>
      <c r="D23">
        <f t="shared" si="6"/>
        <v>0.125</v>
      </c>
      <c r="E23">
        <f t="shared" si="6"/>
        <v>0.89557291666666672</v>
      </c>
      <c r="F23">
        <f t="shared" si="6"/>
        <v>7.8125E-3</v>
      </c>
      <c r="G23">
        <f t="shared" si="6"/>
        <v>-8.4970932331976048</v>
      </c>
      <c r="J23">
        <f t="shared" si="5"/>
        <v>0</v>
      </c>
      <c r="K23" s="1">
        <f t="shared" si="0"/>
        <v>0.33861914771609608</v>
      </c>
      <c r="L23" s="1">
        <f t="shared" si="1"/>
        <v>-0.10347411630779166</v>
      </c>
      <c r="N23" s="25">
        <f t="shared" si="2"/>
        <v>314.43289379723876</v>
      </c>
      <c r="O23" s="19">
        <f>L23*E23*1000/COS(G23*3.14/180)-J23*E23*L2*1000/COS(3.14*G2/180)</f>
        <v>-93.696043192209075</v>
      </c>
      <c r="P23" s="20">
        <f t="shared" si="3"/>
        <v>125</v>
      </c>
    </row>
    <row r="24" spans="1:16" x14ac:dyDescent="0.25">
      <c r="A24">
        <f>'Airfoil Interpolation'!I26</f>
        <v>0.435915</v>
      </c>
      <c r="B24">
        <f>'Airfoil Interpolation'!J26</f>
        <v>-4.8723333333333334E-2</v>
      </c>
      <c r="D24">
        <f t="shared" si="6"/>
        <v>0.125</v>
      </c>
      <c r="E24">
        <f t="shared" si="6"/>
        <v>0.89557291666666672</v>
      </c>
      <c r="F24">
        <f t="shared" si="6"/>
        <v>7.8125E-3</v>
      </c>
      <c r="G24">
        <f t="shared" si="6"/>
        <v>-8.4970932331976048</v>
      </c>
      <c r="J24">
        <f t="shared" si="5"/>
        <v>0</v>
      </c>
      <c r="K24" s="1">
        <f t="shared" si="0"/>
        <v>0.42393926018198302</v>
      </c>
      <c r="L24" s="1">
        <f t="shared" si="1"/>
        <v>-0.11381515318737309</v>
      </c>
      <c r="N24" s="25">
        <f t="shared" si="2"/>
        <v>391.69044600467822</v>
      </c>
      <c r="O24" s="19">
        <f>L24*E24*1000/COS(G24*3.14/180)-J24*E24*L2*1000/COS(3.14*G2/180)</f>
        <v>-103.05987515999685</v>
      </c>
      <c r="P24" s="20">
        <f t="shared" si="3"/>
        <v>125</v>
      </c>
    </row>
    <row r="25" spans="1:16" x14ac:dyDescent="0.25">
      <c r="A25">
        <f>'Airfoil Interpolation'!I27</f>
        <v>0.52216083333333341</v>
      </c>
      <c r="B25">
        <f>'Airfoil Interpolation'!J27</f>
        <v>-4.4422499999999997E-2</v>
      </c>
      <c r="D25">
        <f t="shared" si="6"/>
        <v>0.125</v>
      </c>
      <c r="E25">
        <f t="shared" si="6"/>
        <v>0.89557291666666672</v>
      </c>
      <c r="F25">
        <f t="shared" si="6"/>
        <v>7.8125E-3</v>
      </c>
      <c r="G25">
        <f t="shared" si="6"/>
        <v>-8.4970932331976048</v>
      </c>
      <c r="J25">
        <f t="shared" si="5"/>
        <v>0</v>
      </c>
      <c r="K25" s="1">
        <f t="shared" si="0"/>
        <v>0.50987453003003724</v>
      </c>
      <c r="L25" s="1">
        <f t="shared" si="1"/>
        <v>-0.12239274396538</v>
      </c>
      <c r="N25" s="25">
        <f t="shared" si="2"/>
        <v>469.50502459423342</v>
      </c>
      <c r="O25" s="19">
        <f>L25*E25*1000/COS(G25*3.14/180)-J25*E25*L2*1000/COS(3.14*G2/180)</f>
        <v>-110.82690274813882</v>
      </c>
      <c r="P25" s="20">
        <f t="shared" si="3"/>
        <v>125</v>
      </c>
    </row>
    <row r="26" spans="1:16" x14ac:dyDescent="0.25">
      <c r="A26">
        <f>'Airfoil Interpolation'!I28</f>
        <v>0.60842000000000007</v>
      </c>
      <c r="B26">
        <f>'Airfoil Interpolation'!J28</f>
        <v>-3.8725833333333334E-2</v>
      </c>
      <c r="D26">
        <f t="shared" si="6"/>
        <v>0.125</v>
      </c>
      <c r="E26">
        <f t="shared" si="6"/>
        <v>0.89557291666666672</v>
      </c>
      <c r="F26">
        <f t="shared" si="6"/>
        <v>7.8125E-3</v>
      </c>
      <c r="G26">
        <f t="shared" si="6"/>
        <v>-8.4970932331976048</v>
      </c>
      <c r="J26">
        <f t="shared" si="5"/>
        <v>0</v>
      </c>
      <c r="K26" s="1">
        <f t="shared" si="0"/>
        <v>0.596029130479104</v>
      </c>
      <c r="L26" s="1">
        <f t="shared" si="1"/>
        <v>-0.12957649237373084</v>
      </c>
      <c r="N26" s="25">
        <f t="shared" si="2"/>
        <v>547.51820753238462</v>
      </c>
      <c r="O26" s="19">
        <f>L26*E26*1000/COS(G26*3.14/180)-J26*E26*L2*1000/COS(3.14*G2/180)</f>
        <v>-117.3318029605615</v>
      </c>
      <c r="P26" s="20">
        <f t="shared" si="3"/>
        <v>125</v>
      </c>
    </row>
    <row r="27" spans="1:16" x14ac:dyDescent="0.25">
      <c r="A27">
        <f>'Airfoil Interpolation'!I29</f>
        <v>0.69456250000000008</v>
      </c>
      <c r="B27">
        <f>'Airfoil Interpolation'!J29</f>
        <v>-3.1702500000000002E-2</v>
      </c>
      <c r="D27">
        <f t="shared" si="6"/>
        <v>0.125</v>
      </c>
      <c r="E27">
        <f t="shared" si="6"/>
        <v>0.89557291666666672</v>
      </c>
      <c r="F27">
        <f t="shared" si="6"/>
        <v>7.8125E-3</v>
      </c>
      <c r="G27">
        <f t="shared" si="6"/>
        <v>-8.4970932331976048</v>
      </c>
      <c r="J27">
        <f t="shared" si="5"/>
        <v>0</v>
      </c>
      <c r="K27" s="1">
        <f t="shared" si="0"/>
        <v>0.68226427217777885</v>
      </c>
      <c r="L27" s="1">
        <f t="shared" si="1"/>
        <v>-0.13541615318323869</v>
      </c>
      <c r="N27" s="25">
        <f t="shared" si="2"/>
        <v>625.60432075176254</v>
      </c>
      <c r="O27" s="19">
        <f>L27*E27*1000/COS(G27*3.14/180)-J27*E27*L2*1000/COS(3.14*G2/180)</f>
        <v>-122.61962885325093</v>
      </c>
      <c r="P27" s="20">
        <f t="shared" si="3"/>
        <v>125</v>
      </c>
    </row>
    <row r="28" spans="1:16" x14ac:dyDescent="0.25">
      <c r="A28">
        <f>'Airfoil Interpolation'!I30</f>
        <v>0.78057916666666671</v>
      </c>
      <c r="B28">
        <f>'Airfoil Interpolation'!J30</f>
        <v>-2.3785833333333332E-2</v>
      </c>
      <c r="D28">
        <f t="shared" si="6"/>
        <v>0.125</v>
      </c>
      <c r="E28">
        <f t="shared" si="6"/>
        <v>0.89557291666666672</v>
      </c>
      <c r="F28">
        <f t="shared" si="6"/>
        <v>7.8125E-3</v>
      </c>
      <c r="G28">
        <f t="shared" si="6"/>
        <v>-8.4970932331976048</v>
      </c>
      <c r="J28">
        <f t="shared" si="5"/>
        <v>0</v>
      </c>
      <c r="K28" s="1">
        <f t="shared" si="0"/>
        <v>0.76850689219654866</v>
      </c>
      <c r="L28" s="1">
        <f t="shared" si="1"/>
        <v>-0.14034369093970878</v>
      </c>
      <c r="N28" s="25">
        <f t="shared" si="2"/>
        <v>703.69720560667236</v>
      </c>
      <c r="O28" s="19">
        <f>L28*E28*1000/COS(G28*3.14/180)-J28*E28*L2*1000/COS(3.14*G2/180)</f>
        <v>-127.08152528624994</v>
      </c>
      <c r="P28" s="20">
        <f t="shared" si="3"/>
        <v>125</v>
      </c>
    </row>
    <row r="29" spans="1:16" x14ac:dyDescent="0.25">
      <c r="A29">
        <f>'Airfoil Interpolation'!I31</f>
        <v>0.86652416666666665</v>
      </c>
      <c r="B29">
        <f>'Airfoil Interpolation'!J31</f>
        <v>-1.4789999999999999E-2</v>
      </c>
      <c r="D29">
        <f t="shared" si="6"/>
        <v>0.125</v>
      </c>
      <c r="E29">
        <f t="shared" si="6"/>
        <v>0.89557291666666672</v>
      </c>
      <c r="F29">
        <f t="shared" si="6"/>
        <v>7.8125E-3</v>
      </c>
      <c r="G29">
        <f t="shared" si="6"/>
        <v>-8.4970932331976048</v>
      </c>
      <c r="J29">
        <f t="shared" si="5"/>
        <v>0</v>
      </c>
      <c r="K29" s="1">
        <f t="shared" si="0"/>
        <v>0.85483800800877197</v>
      </c>
      <c r="L29" s="1">
        <f t="shared" si="1"/>
        <v>-0.14418136059974671</v>
      </c>
      <c r="N29" s="25">
        <f t="shared" si="2"/>
        <v>781.87022360000969</v>
      </c>
      <c r="O29" s="19">
        <f>L29*E29*1000/COS(G29*3.14/180)-J29*E29*L2*1000/COS(3.14*G2/180)</f>
        <v>-130.55654372617326</v>
      </c>
      <c r="P29" s="20">
        <f t="shared" si="3"/>
        <v>125</v>
      </c>
    </row>
    <row r="30" spans="1:16" x14ac:dyDescent="0.25">
      <c r="A30">
        <f>'Airfoil Interpolation'!I32</f>
        <v>0.9518133333333334</v>
      </c>
      <c r="B30">
        <f>'Airfoil Interpolation'!J32</f>
        <v>-5.2599999999999999E-3</v>
      </c>
      <c r="D30">
        <f t="shared" si="6"/>
        <v>0.125</v>
      </c>
      <c r="E30">
        <f t="shared" si="6"/>
        <v>0.89557291666666672</v>
      </c>
      <c r="F30">
        <f t="shared" si="6"/>
        <v>7.8125E-3</v>
      </c>
      <c r="G30">
        <f t="shared" si="6"/>
        <v>-8.4970932331976048</v>
      </c>
      <c r="J30">
        <f t="shared" si="5"/>
        <v>0</v>
      </c>
      <c r="K30" s="1">
        <f t="shared" si="0"/>
        <v>0.94059937038841157</v>
      </c>
      <c r="L30" s="1">
        <f t="shared" si="1"/>
        <v>-0.14738693306724118</v>
      </c>
      <c r="N30" s="25">
        <f t="shared" si="2"/>
        <v>859.52732858888646</v>
      </c>
      <c r="O30" s="19">
        <f>L30*E30*1000/COS(G30*3.14/180)-J30*E30*L2*1000/COS(3.14*G2/180)</f>
        <v>-133.45919674788843</v>
      </c>
      <c r="P30" s="20">
        <f t="shared" si="3"/>
        <v>125</v>
      </c>
    </row>
    <row r="31" spans="1:16" ht="15.75" thickBot="1" x14ac:dyDescent="0.3">
      <c r="A31">
        <f>'Airfoil Interpolation'!I33</f>
        <v>1</v>
      </c>
      <c r="B31">
        <f>'Airfoil Interpolation'!J33</f>
        <v>4.083333333333326E-5</v>
      </c>
      <c r="D31">
        <f t="shared" si="6"/>
        <v>0.125</v>
      </c>
      <c r="E31">
        <f t="shared" si="6"/>
        <v>0.89557291666666672</v>
      </c>
      <c r="F31">
        <f t="shared" si="6"/>
        <v>7.8125E-3</v>
      </c>
      <c r="G31">
        <f t="shared" si="6"/>
        <v>-8.4970932331976048</v>
      </c>
      <c r="J31">
        <f t="shared" si="5"/>
        <v>0</v>
      </c>
      <c r="K31" s="1">
        <f t="shared" si="0"/>
        <v>0.98904049749421286</v>
      </c>
      <c r="L31" s="1">
        <f t="shared" si="1"/>
        <v>-0.14928144246364489</v>
      </c>
      <c r="N31" s="26">
        <f t="shared" si="2"/>
        <v>903.39087726693072</v>
      </c>
      <c r="O31" s="27">
        <f>L31*E31*1000/COS(G31*3.14/180)-J31*E31*L2*1000/COS(3.14*G2/180)</f>
        <v>-135.1746792334356</v>
      </c>
      <c r="P31" s="28">
        <f t="shared" si="3"/>
        <v>125</v>
      </c>
    </row>
  </sheetData>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90" zoomScaleNormal="90" workbookViewId="0">
      <selection activeCell="X39" sqref="X39:X40"/>
    </sheetView>
  </sheetViews>
  <sheetFormatPr defaultRowHeight="15" x14ac:dyDescent="0.25"/>
  <sheetData>
    <row r="1" spans="1:16" ht="15.75" thickBot="1" x14ac:dyDescent="0.3">
      <c r="A1">
        <v>3</v>
      </c>
      <c r="D1" t="s">
        <v>0</v>
      </c>
      <c r="E1" t="s">
        <v>1</v>
      </c>
      <c r="F1" t="s">
        <v>2</v>
      </c>
      <c r="G1" t="s">
        <v>5</v>
      </c>
      <c r="J1" t="s">
        <v>10</v>
      </c>
      <c r="K1" t="s">
        <v>9</v>
      </c>
      <c r="N1" s="6" t="s">
        <v>6</v>
      </c>
      <c r="O1" s="6" t="s">
        <v>7</v>
      </c>
      <c r="P1" s="6" t="s">
        <v>8</v>
      </c>
    </row>
    <row r="2" spans="1:16" x14ac:dyDescent="0.25">
      <c r="A2">
        <f>'Airfoil Interpolation'!M4</f>
        <v>1</v>
      </c>
      <c r="B2">
        <f>'Airfoil Interpolation'!N4</f>
        <v>2.9166666666666653E-4</v>
      </c>
      <c r="D2" s="4">
        <f>'Loft Viewer'!D5</f>
        <v>0.25</v>
      </c>
      <c r="E2" s="4">
        <f>'Loft Viewer'!D6</f>
        <v>0.88020833333333337</v>
      </c>
      <c r="F2" s="4">
        <f>'Loft Viewer'!D7</f>
        <v>3.125E-2</v>
      </c>
      <c r="G2" s="4">
        <f>-'Loft Viewer'!D8</f>
        <v>-8.3521036481733404</v>
      </c>
      <c r="J2">
        <f>'Loft Viewer'!B2</f>
        <v>0</v>
      </c>
      <c r="K2" s="1">
        <f>((A2)*COS(3.14*G2/180)-B2*SIN(3.14*G2/180))</f>
        <v>0.98944718198843595</v>
      </c>
      <c r="L2" s="1">
        <f>((A2)*SIN(3.14*G2/180)+B2*COS(3.14*G2/180))/COS(3.14*G2/180)</f>
        <v>-0.14644592169923484</v>
      </c>
      <c r="N2" s="22">
        <f>K2*E2*1000/COS(G2*3.14/180)+F2*1000</f>
        <v>911.49600489736054</v>
      </c>
      <c r="O2" s="23">
        <f>L2*E2*1000/COS(G2*3.14/180)-J2*E2*L2*1000/COS(3.14*G2/180)</f>
        <v>-130.28329339440148</v>
      </c>
      <c r="P2" s="24">
        <f>D2*1000</f>
        <v>250</v>
      </c>
    </row>
    <row r="3" spans="1:16" x14ac:dyDescent="0.25">
      <c r="A3">
        <f>'Airfoil Interpolation'!M5</f>
        <v>0.95238833333333328</v>
      </c>
      <c r="B3">
        <f>'Airfoil Interpolation'!N5</f>
        <v>5.6433333333333335E-3</v>
      </c>
      <c r="D3">
        <f>D2</f>
        <v>0.25</v>
      </c>
      <c r="E3">
        <f>E2</f>
        <v>0.88020833333333337</v>
      </c>
      <c r="F3">
        <f>F2</f>
        <v>3.125E-2</v>
      </c>
      <c r="G3">
        <f>G2</f>
        <v>-8.3521036481733404</v>
      </c>
      <c r="J3">
        <f>J2</f>
        <v>0</v>
      </c>
      <c r="K3" s="1">
        <f t="shared" ref="K3:K31" si="0">((A3)*COS(3.14*G3/180)-B3*SIN(3.14*G3/180))</f>
        <v>0.94311693906950922</v>
      </c>
      <c r="L3" s="1">
        <f t="shared" ref="L3:L31" si="1">((A3)*SIN(3.14*G3/180)+B3*COS(3.14*G3/180))/COS(3.14*G3/180)</f>
        <v>-0.13410783388782033</v>
      </c>
      <c r="N3" s="25">
        <f t="shared" ref="N3:N31" si="2">K3*E3*1000/COS(G3*3.14/180)+F3*1000</f>
        <v>870.27903851684869</v>
      </c>
      <c r="O3" s="19">
        <f>L3*E3*1000/COS(G3*3.14/180)-J3*E3*L2*1000/COS(3.14*G2/180)</f>
        <v>-119.30690910449462</v>
      </c>
      <c r="P3" s="20">
        <f t="shared" ref="P3:P31" si="3">D3*1000</f>
        <v>250</v>
      </c>
    </row>
    <row r="4" spans="1:16" x14ac:dyDescent="0.25">
      <c r="A4">
        <f>'Airfoil Interpolation'!M6</f>
        <v>0.867255</v>
      </c>
      <c r="B4">
        <f>'Airfoil Interpolation'!N6</f>
        <v>1.6016666666666669E-2</v>
      </c>
      <c r="D4">
        <f t="shared" ref="D4:G19" si="4">D3</f>
        <v>0.25</v>
      </c>
      <c r="E4">
        <f t="shared" si="4"/>
        <v>0.88020833333333337</v>
      </c>
      <c r="F4">
        <f t="shared" si="4"/>
        <v>3.125E-2</v>
      </c>
      <c r="G4">
        <f t="shared" si="4"/>
        <v>-8.3521036481733404</v>
      </c>
      <c r="J4">
        <f t="shared" ref="J4:J31" si="5">J3</f>
        <v>0</v>
      </c>
      <c r="K4" s="1">
        <f t="shared" si="0"/>
        <v>0.86039163768650317</v>
      </c>
      <c r="L4" s="1">
        <f t="shared" si="1"/>
        <v>-0.11124224053160324</v>
      </c>
      <c r="N4" s="25">
        <f t="shared" si="2"/>
        <v>796.68378515528798</v>
      </c>
      <c r="O4" s="19">
        <f>L4*E4*1000/COS(G4*3.14/180)-J4*E4*L2*1000/COS(3.14*G2/180)</f>
        <v>-98.964896344431068</v>
      </c>
      <c r="P4" s="20">
        <f t="shared" si="3"/>
        <v>250</v>
      </c>
    </row>
    <row r="5" spans="1:16" x14ac:dyDescent="0.25">
      <c r="A5">
        <f>'Airfoil Interpolation'!M7</f>
        <v>0.78173333333333339</v>
      </c>
      <c r="B5">
        <f>'Airfoil Interpolation'!N7</f>
        <v>2.7758333333333333E-2</v>
      </c>
      <c r="D5">
        <f t="shared" si="4"/>
        <v>0.25</v>
      </c>
      <c r="E5">
        <f t="shared" si="4"/>
        <v>0.88020833333333337</v>
      </c>
      <c r="F5">
        <f t="shared" si="4"/>
        <v>3.125E-2</v>
      </c>
      <c r="G5">
        <f t="shared" si="4"/>
        <v>-8.3521036481733404</v>
      </c>
      <c r="J5">
        <f t="shared" si="5"/>
        <v>0</v>
      </c>
      <c r="K5" s="1">
        <f t="shared" si="0"/>
        <v>0.77748077599885346</v>
      </c>
      <c r="L5" s="1">
        <f t="shared" si="1"/>
        <v>-8.6951330745237421E-2</v>
      </c>
      <c r="N5" s="25">
        <f t="shared" si="2"/>
        <v>722.92345100942327</v>
      </c>
      <c r="O5" s="19">
        <f>L5*E5*1000/COS(G5*3.14/180)-J5*E5*L2*1000/COS(3.14*G2/180)</f>
        <v>-77.354873410411912</v>
      </c>
      <c r="P5" s="20">
        <f t="shared" si="3"/>
        <v>250</v>
      </c>
    </row>
    <row r="6" spans="1:16" x14ac:dyDescent="0.25">
      <c r="A6">
        <f>'Airfoil Interpolation'!M8</f>
        <v>0.69623833333333329</v>
      </c>
      <c r="B6">
        <f>'Airfoil Interpolation'!N8</f>
        <v>4.0691666666666661E-2</v>
      </c>
      <c r="D6">
        <f t="shared" si="4"/>
        <v>0.25</v>
      </c>
      <c r="E6">
        <f t="shared" si="4"/>
        <v>0.88020833333333337</v>
      </c>
      <c r="F6">
        <f t="shared" si="4"/>
        <v>3.125E-2</v>
      </c>
      <c r="G6">
        <f t="shared" si="4"/>
        <v>-8.3521036481733404</v>
      </c>
      <c r="J6">
        <f t="shared" si="5"/>
        <v>0</v>
      </c>
      <c r="K6" s="1">
        <f t="shared" si="0"/>
        <v>0.69476930803849468</v>
      </c>
      <c r="L6" s="1">
        <f t="shared" si="1"/>
        <v>-6.1472667294561315E-2</v>
      </c>
      <c r="N6" s="25">
        <f t="shared" si="2"/>
        <v>649.34050433309142</v>
      </c>
      <c r="O6" s="19">
        <f>L6*E6*1000/COS(G6*3.14/180)-J6*E6*L2*1000/COS(3.14*G2/180)</f>
        <v>-54.688184252218775</v>
      </c>
      <c r="P6" s="20">
        <f t="shared" si="3"/>
        <v>250</v>
      </c>
    </row>
    <row r="7" spans="1:16" x14ac:dyDescent="0.25">
      <c r="A7">
        <f>'Airfoil Interpolation'!M9</f>
        <v>0.61089833333333332</v>
      </c>
      <c r="B7">
        <f>'Airfoil Interpolation'!N9</f>
        <v>5.4886666666666667E-2</v>
      </c>
      <c r="D7">
        <f t="shared" si="4"/>
        <v>0.25</v>
      </c>
      <c r="E7">
        <f t="shared" si="4"/>
        <v>0.88020833333333337</v>
      </c>
      <c r="F7">
        <f t="shared" si="4"/>
        <v>3.125E-2</v>
      </c>
      <c r="G7">
        <f t="shared" si="4"/>
        <v>-8.3521036481733404</v>
      </c>
      <c r="J7">
        <f t="shared" si="5"/>
        <v>0</v>
      </c>
      <c r="K7" s="1">
        <f t="shared" si="0"/>
        <v>0.61239437022775156</v>
      </c>
      <c r="L7" s="1">
        <f t="shared" si="1"/>
        <v>-3.4755081503415282E-2</v>
      </c>
      <c r="N7" s="25">
        <f t="shared" si="2"/>
        <v>576.05694637110355</v>
      </c>
      <c r="O7" s="19">
        <f>L7*E7*1000/COS(G7*3.14/180)-J7*E7*L2*1000/COS(3.14*G2/180)</f>
        <v>-30.919307468017028</v>
      </c>
      <c r="P7" s="20">
        <f t="shared" si="3"/>
        <v>250</v>
      </c>
    </row>
    <row r="8" spans="1:16" x14ac:dyDescent="0.25">
      <c r="A8">
        <f>'Airfoil Interpolation'!M10</f>
        <v>0.52569833333333338</v>
      </c>
      <c r="B8">
        <f>'Airfoil Interpolation'!N10</f>
        <v>6.9053333333333342E-2</v>
      </c>
      <c r="D8">
        <f t="shared" si="4"/>
        <v>0.25</v>
      </c>
      <c r="E8">
        <f t="shared" si="4"/>
        <v>0.88020833333333337</v>
      </c>
      <c r="F8">
        <f t="shared" si="4"/>
        <v>3.125E-2</v>
      </c>
      <c r="G8">
        <f t="shared" si="4"/>
        <v>-8.3521036481733404</v>
      </c>
      <c r="J8">
        <f t="shared" si="5"/>
        <v>0</v>
      </c>
      <c r="K8" s="1">
        <f t="shared" si="0"/>
        <v>0.53015383557926121</v>
      </c>
      <c r="L8" s="1">
        <f t="shared" si="1"/>
        <v>-8.0863723079738024E-3</v>
      </c>
      <c r="N8" s="25">
        <f t="shared" si="2"/>
        <v>502.89295805241971</v>
      </c>
      <c r="O8" s="19">
        <f>L8*E8*1000/COS(G8*3.14/180)-J8*E8*L2*1000/COS(3.14*G2/180)</f>
        <v>-7.1939129725974382</v>
      </c>
      <c r="P8" s="20">
        <f t="shared" si="3"/>
        <v>250</v>
      </c>
    </row>
    <row r="9" spans="1:16" x14ac:dyDescent="0.25">
      <c r="A9">
        <f>'Airfoil Interpolation'!M11</f>
        <v>0.44083499999999998</v>
      </c>
      <c r="B9">
        <f>'Airfoil Interpolation'!N11</f>
        <v>8.0570000000000003E-2</v>
      </c>
      <c r="D9">
        <f t="shared" si="4"/>
        <v>0.25</v>
      </c>
      <c r="E9">
        <f t="shared" si="4"/>
        <v>0.88020833333333337</v>
      </c>
      <c r="F9">
        <f t="shared" si="4"/>
        <v>3.125E-2</v>
      </c>
      <c r="G9">
        <f t="shared" si="4"/>
        <v>-8.3521036481733404</v>
      </c>
      <c r="J9">
        <f t="shared" si="5"/>
        <v>0</v>
      </c>
      <c r="K9" s="1">
        <f t="shared" si="0"/>
        <v>0.44786166592802623</v>
      </c>
      <c r="L9" s="1">
        <f t="shared" si="1"/>
        <v>1.5882935232717815E-2</v>
      </c>
      <c r="N9" s="25">
        <f t="shared" si="2"/>
        <v>429.68303347184525</v>
      </c>
      <c r="O9" s="19">
        <f>L9*E9*1000/COS(G9*3.14/180)-J9*E9*L2*1000/COS(3.14*G2/180)</f>
        <v>14.130001620244935</v>
      </c>
      <c r="P9" s="20">
        <f t="shared" si="3"/>
        <v>250</v>
      </c>
    </row>
    <row r="10" spans="1:16" x14ac:dyDescent="0.25">
      <c r="A10">
        <f>'Airfoil Interpolation'!M12</f>
        <v>0.35599166666666665</v>
      </c>
      <c r="B10">
        <f>'Airfoil Interpolation'!N12</f>
        <v>8.8249999999999995E-2</v>
      </c>
      <c r="D10">
        <f t="shared" si="4"/>
        <v>0.25</v>
      </c>
      <c r="E10">
        <f t="shared" si="4"/>
        <v>0.88020833333333337</v>
      </c>
      <c r="F10">
        <f t="shared" si="4"/>
        <v>3.125E-2</v>
      </c>
      <c r="G10">
        <f t="shared" si="4"/>
        <v>-8.3521036481733404</v>
      </c>
      <c r="J10">
        <f t="shared" si="5"/>
        <v>0</v>
      </c>
      <c r="K10" s="1">
        <f t="shared" si="0"/>
        <v>0.36503226605842953</v>
      </c>
      <c r="L10" s="1">
        <f t="shared" si="1"/>
        <v>3.6012641354975436E-2</v>
      </c>
      <c r="N10" s="25">
        <f t="shared" si="2"/>
        <v>355.99517054142092</v>
      </c>
      <c r="O10" s="19">
        <f>L10*E10*1000/COS(G10*3.14/180)-J10*E10*L2*1000/COS(3.14*G2/180)</f>
        <v>32.038075660403557</v>
      </c>
      <c r="P10" s="20">
        <f t="shared" si="3"/>
        <v>250</v>
      </c>
    </row>
    <row r="11" spans="1:16" x14ac:dyDescent="0.25">
      <c r="A11">
        <f>'Airfoil Interpolation'!M13</f>
        <v>0.27187333333333336</v>
      </c>
      <c r="B11">
        <f>'Airfoil Interpolation'!N13</f>
        <v>8.9771666666666666E-2</v>
      </c>
      <c r="D11">
        <f t="shared" si="4"/>
        <v>0.25</v>
      </c>
      <c r="E11">
        <f t="shared" si="4"/>
        <v>0.88020833333333337</v>
      </c>
      <c r="F11">
        <f t="shared" si="4"/>
        <v>3.125E-2</v>
      </c>
      <c r="G11">
        <f t="shared" si="4"/>
        <v>-8.3521036481733404</v>
      </c>
      <c r="J11">
        <f t="shared" si="5"/>
        <v>0</v>
      </c>
      <c r="K11" s="1">
        <f t="shared" si="0"/>
        <v>0.28202610012818186</v>
      </c>
      <c r="L11" s="1">
        <f t="shared" si="1"/>
        <v>4.987762939233447E-2</v>
      </c>
      <c r="N11" s="25">
        <f t="shared" si="2"/>
        <v>282.15005048649118</v>
      </c>
      <c r="O11" s="19">
        <f>L11*E11*1000/COS(G11*3.14/180)-J11*E11*L2*1000/COS(3.14*G2/180)</f>
        <v>44.37284253831622</v>
      </c>
      <c r="P11" s="20">
        <f t="shared" si="3"/>
        <v>250</v>
      </c>
    </row>
    <row r="12" spans="1:16" x14ac:dyDescent="0.25">
      <c r="A12">
        <f>'Airfoil Interpolation'!M14</f>
        <v>0.18833333333333332</v>
      </c>
      <c r="B12">
        <f>'Airfoil Interpolation'!N14</f>
        <v>8.4760000000000002E-2</v>
      </c>
      <c r="D12">
        <f t="shared" si="4"/>
        <v>0.25</v>
      </c>
      <c r="E12">
        <f t="shared" si="4"/>
        <v>0.88020833333333337</v>
      </c>
      <c r="F12">
        <f t="shared" si="4"/>
        <v>3.125E-2</v>
      </c>
      <c r="G12">
        <f t="shared" si="4"/>
        <v>-8.3521036481733404</v>
      </c>
      <c r="J12">
        <f t="shared" si="5"/>
        <v>0</v>
      </c>
      <c r="K12" s="1">
        <f t="shared" si="0"/>
        <v>0.19864361184797288</v>
      </c>
      <c r="L12" s="1">
        <f t="shared" si="1"/>
        <v>5.712442085775523E-2</v>
      </c>
      <c r="N12" s="25">
        <f t="shared" si="2"/>
        <v>207.97014121679888</v>
      </c>
      <c r="O12" s="19">
        <f>L12*E12*1000/COS(G12*3.14/180)-J12*E12*L2*1000/COS(3.14*G2/180)</f>
        <v>50.819835719843582</v>
      </c>
      <c r="P12" s="20">
        <f t="shared" si="3"/>
        <v>250</v>
      </c>
    </row>
    <row r="13" spans="1:16" x14ac:dyDescent="0.25">
      <c r="A13">
        <f>'Airfoil Interpolation'!M15</f>
        <v>0.10876666666666666</v>
      </c>
      <c r="B13">
        <f>'Airfoil Interpolation'!N15</f>
        <v>6.9481666666666664E-2</v>
      </c>
      <c r="D13">
        <f t="shared" si="4"/>
        <v>0.25</v>
      </c>
      <c r="E13">
        <f t="shared" si="4"/>
        <v>0.88020833333333337</v>
      </c>
      <c r="F13">
        <f t="shared" si="4"/>
        <v>3.125E-2</v>
      </c>
      <c r="G13">
        <f t="shared" si="4"/>
        <v>-8.3521036481733404</v>
      </c>
      <c r="J13">
        <f t="shared" si="5"/>
        <v>0</v>
      </c>
      <c r="K13" s="1">
        <f t="shared" si="0"/>
        <v>0.11770181455515681</v>
      </c>
      <c r="L13" s="1">
        <f t="shared" si="1"/>
        <v>5.3521508305402116E-2</v>
      </c>
      <c r="N13" s="25">
        <f t="shared" si="2"/>
        <v>135.96155400446395</v>
      </c>
      <c r="O13" s="19">
        <f>L13*E13*1000/COS(G13*3.14/180)-J13*E13*L2*1000/COS(3.14*G2/180)</f>
        <v>47.614561665871449</v>
      </c>
      <c r="P13" s="20">
        <f t="shared" si="3"/>
        <v>250</v>
      </c>
    </row>
    <row r="14" spans="1:16" x14ac:dyDescent="0.25">
      <c r="A14">
        <f>'Airfoil Interpolation'!M16</f>
        <v>4.1715000000000002E-2</v>
      </c>
      <c r="B14">
        <f>'Airfoil Interpolation'!N16</f>
        <v>4.4358333333333333E-2</v>
      </c>
      <c r="D14">
        <f t="shared" si="4"/>
        <v>0.25</v>
      </c>
      <c r="E14">
        <f t="shared" si="4"/>
        <v>0.88020833333333337</v>
      </c>
      <c r="F14">
        <f t="shared" si="4"/>
        <v>3.125E-2</v>
      </c>
      <c r="G14">
        <f t="shared" si="4"/>
        <v>-8.3521036481733404</v>
      </c>
      <c r="J14">
        <f t="shared" si="5"/>
        <v>0</v>
      </c>
      <c r="K14" s="1">
        <f t="shared" si="0"/>
        <v>4.7713093346558835E-2</v>
      </c>
      <c r="L14" s="1">
        <f t="shared" si="1"/>
        <v>3.8237174834649751E-2</v>
      </c>
      <c r="N14" s="25">
        <f t="shared" si="2"/>
        <v>73.697197348321026</v>
      </c>
      <c r="O14" s="19">
        <f>L14*E14*1000/COS(G14*3.14/180)-J14*E14*L2*1000/COS(3.14*G2/180)</f>
        <v>34.01709661663952</v>
      </c>
      <c r="P14" s="20">
        <f t="shared" si="3"/>
        <v>250</v>
      </c>
    </row>
    <row r="15" spans="1:16" x14ac:dyDescent="0.25">
      <c r="A15">
        <f>'Airfoil Interpolation'!M17</f>
        <v>1.1011666666666666E-2</v>
      </c>
      <c r="B15">
        <f>'Airfoil Interpolation'!N17</f>
        <v>2.1551666666666667E-2</v>
      </c>
      <c r="D15">
        <f t="shared" si="4"/>
        <v>0.25</v>
      </c>
      <c r="E15">
        <f t="shared" si="4"/>
        <v>0.88020833333333337</v>
      </c>
      <c r="F15">
        <f t="shared" si="4"/>
        <v>3.125E-2</v>
      </c>
      <c r="G15">
        <f t="shared" si="4"/>
        <v>-8.3521036481733404</v>
      </c>
      <c r="J15">
        <f t="shared" si="5"/>
        <v>0</v>
      </c>
      <c r="K15" s="1">
        <f t="shared" si="0"/>
        <v>1.4023929292152794E-2</v>
      </c>
      <c r="L15" s="1">
        <f t="shared" si="1"/>
        <v>1.9935841256110816E-2</v>
      </c>
      <c r="N15" s="25">
        <f t="shared" si="2"/>
        <v>43.726166446371103</v>
      </c>
      <c r="O15" s="19">
        <f>L15*E15*1000/COS(G15*3.14/180)-J15*E15*L2*1000/COS(3.14*G2/180)</f>
        <v>17.735605234322264</v>
      </c>
      <c r="P15" s="20">
        <f t="shared" si="3"/>
        <v>250</v>
      </c>
    </row>
    <row r="16" spans="1:16" x14ac:dyDescent="0.25">
      <c r="A16">
        <f>'Airfoil Interpolation'!M18</f>
        <v>1.2699999999999999E-3</v>
      </c>
      <c r="B16">
        <f>'Airfoil Interpolation'!N18</f>
        <v>7.9166666666666656E-3</v>
      </c>
      <c r="D16">
        <f t="shared" si="4"/>
        <v>0.25</v>
      </c>
      <c r="E16">
        <f t="shared" si="4"/>
        <v>0.88020833333333337</v>
      </c>
      <c r="F16">
        <f t="shared" si="4"/>
        <v>3.125E-2</v>
      </c>
      <c r="G16">
        <f t="shared" si="4"/>
        <v>-8.3521036481733404</v>
      </c>
      <c r="J16">
        <f t="shared" si="5"/>
        <v>0</v>
      </c>
      <c r="K16" s="1">
        <f t="shared" si="0"/>
        <v>2.405908607229142E-3</v>
      </c>
      <c r="L16" s="1">
        <f t="shared" si="1"/>
        <v>7.7303099294419707E-3</v>
      </c>
      <c r="N16" s="25">
        <f t="shared" si="2"/>
        <v>33.390378464068817</v>
      </c>
      <c r="O16" s="19">
        <f>L16*E16*1000/COS(G16*3.14/180)-J16*E16*L2*1000/COS(3.14*G2/180)</f>
        <v>6.8771477203410933</v>
      </c>
      <c r="P16" s="20">
        <f t="shared" si="3"/>
        <v>250</v>
      </c>
    </row>
    <row r="17" spans="1:16" x14ac:dyDescent="0.25">
      <c r="A17">
        <f>'Airfoil Interpolation'!M19</f>
        <v>4.5333333333333337E-4</v>
      </c>
      <c r="B17">
        <f>'Airfoil Interpolation'!N19</f>
        <v>-2.1000000000000003E-3</v>
      </c>
      <c r="D17">
        <f t="shared" si="4"/>
        <v>0.25</v>
      </c>
      <c r="E17">
        <f t="shared" si="4"/>
        <v>0.88020833333333337</v>
      </c>
      <c r="F17">
        <f t="shared" si="4"/>
        <v>3.125E-2</v>
      </c>
      <c r="G17">
        <f t="shared" si="4"/>
        <v>-8.3521036481733404</v>
      </c>
      <c r="J17">
        <f t="shared" si="5"/>
        <v>0</v>
      </c>
      <c r="K17" s="1">
        <f t="shared" si="0"/>
        <v>1.4364614540292981E-4</v>
      </c>
      <c r="L17" s="1">
        <f t="shared" si="1"/>
        <v>-2.1665210400592088E-3</v>
      </c>
      <c r="N17" s="25">
        <f t="shared" si="2"/>
        <v>31.37779251678268</v>
      </c>
      <c r="O17" s="19">
        <f>L17*E17*1000/COS(G17*3.14/180)-J17*E17*L2*1000/COS(3.14*G2/180)</f>
        <v>-1.9274111087017898</v>
      </c>
      <c r="P17" s="20">
        <f t="shared" si="3"/>
        <v>250</v>
      </c>
    </row>
    <row r="18" spans="1:16" x14ac:dyDescent="0.25">
      <c r="A18">
        <f>'Airfoil Interpolation'!M20</f>
        <v>8.1783333333333326E-3</v>
      </c>
      <c r="B18">
        <f>'Airfoil Interpolation'!N20</f>
        <v>-1.3135000000000001E-2</v>
      </c>
      <c r="D18">
        <f t="shared" si="4"/>
        <v>0.25</v>
      </c>
      <c r="E18">
        <f t="shared" si="4"/>
        <v>0.88020833333333337</v>
      </c>
      <c r="F18">
        <f t="shared" si="4"/>
        <v>3.125E-2</v>
      </c>
      <c r="G18">
        <f t="shared" si="4"/>
        <v>-8.3521036481733404</v>
      </c>
      <c r="J18">
        <f t="shared" si="5"/>
        <v>0</v>
      </c>
      <c r="K18" s="1">
        <f t="shared" si="0"/>
        <v>6.1847054336393792E-3</v>
      </c>
      <c r="L18" s="1">
        <f t="shared" si="1"/>
        <v>-1.4335068910185798E-2</v>
      </c>
      <c r="N18" s="25">
        <f t="shared" si="2"/>
        <v>36.752125175077495</v>
      </c>
      <c r="O18" s="19">
        <f>L18*E18*1000/COS(G18*3.14/180)-J18*E18*L2*1000/COS(3.14*G2/180)</f>
        <v>-12.75296687667648</v>
      </c>
      <c r="P18" s="20">
        <f t="shared" si="3"/>
        <v>250</v>
      </c>
    </row>
    <row r="19" spans="1:16" x14ac:dyDescent="0.25">
      <c r="A19">
        <f>'Airfoil Interpolation'!M21</f>
        <v>3.3623333333333338E-2</v>
      </c>
      <c r="B19">
        <f>'Airfoil Interpolation'!N21</f>
        <v>-2.5816666666666668E-2</v>
      </c>
      <c r="D19">
        <f t="shared" si="4"/>
        <v>0.25</v>
      </c>
      <c r="E19">
        <f t="shared" si="4"/>
        <v>0.88020833333333337</v>
      </c>
      <c r="F19">
        <f t="shared" si="4"/>
        <v>3.125E-2</v>
      </c>
      <c r="G19">
        <f t="shared" si="4"/>
        <v>-8.3521036481733404</v>
      </c>
      <c r="J19">
        <f t="shared" si="5"/>
        <v>0</v>
      </c>
      <c r="K19" s="1">
        <f t="shared" si="0"/>
        <v>2.9518950624627824E-2</v>
      </c>
      <c r="L19" s="1">
        <f t="shared" si="1"/>
        <v>-3.0750473512822833E-2</v>
      </c>
      <c r="N19" s="25">
        <f t="shared" si="2"/>
        <v>57.511066612846008</v>
      </c>
      <c r="O19" s="19">
        <f>L19*E19*1000/COS(G19*3.14/180)-J19*E19*L2*1000/COS(3.14*G2/180)</f>
        <v>-27.35667143340326</v>
      </c>
      <c r="P19" s="20">
        <f t="shared" si="3"/>
        <v>250</v>
      </c>
    </row>
    <row r="20" spans="1:16" x14ac:dyDescent="0.25">
      <c r="A20">
        <f>'Airfoil Interpolation'!M22</f>
        <v>9.6516666666666667E-2</v>
      </c>
      <c r="B20">
        <f>'Airfoil Interpolation'!N22</f>
        <v>-4.1548333333333333E-2</v>
      </c>
      <c r="D20">
        <f t="shared" ref="D20:G31" si="6">D19</f>
        <v>0.25</v>
      </c>
      <c r="E20">
        <f t="shared" si="6"/>
        <v>0.88020833333333337</v>
      </c>
      <c r="F20">
        <f t="shared" si="6"/>
        <v>3.125E-2</v>
      </c>
      <c r="G20">
        <f t="shared" si="6"/>
        <v>-8.3521036481733404</v>
      </c>
      <c r="J20">
        <f t="shared" si="5"/>
        <v>0</v>
      </c>
      <c r="K20" s="1">
        <f t="shared" si="0"/>
        <v>8.9461950169451562E-2</v>
      </c>
      <c r="L20" s="1">
        <f t="shared" si="1"/>
        <v>-5.571095623711559E-2</v>
      </c>
      <c r="N20" s="25">
        <f t="shared" si="2"/>
        <v>110.8384061933756</v>
      </c>
      <c r="O20" s="19">
        <f>L20*E20*1000/COS(G20*3.14/180)-J20*E20*L2*1000/COS(3.14*G2/180)</f>
        <v>-49.562369320392712</v>
      </c>
      <c r="P20" s="20">
        <f t="shared" si="3"/>
        <v>250</v>
      </c>
    </row>
    <row r="21" spans="1:16" x14ac:dyDescent="0.25">
      <c r="A21">
        <f>'Airfoil Interpolation'!M23</f>
        <v>0.17860833333333334</v>
      </c>
      <c r="B21">
        <f>'Airfoil Interpolation'!N23</f>
        <v>-4.8951666666666664E-2</v>
      </c>
      <c r="D21">
        <f t="shared" si="6"/>
        <v>0.25</v>
      </c>
      <c r="E21">
        <f t="shared" si="6"/>
        <v>0.88020833333333337</v>
      </c>
      <c r="F21">
        <f t="shared" si="6"/>
        <v>3.125E-2</v>
      </c>
      <c r="G21">
        <f t="shared" si="6"/>
        <v>-8.3521036481733404</v>
      </c>
      <c r="J21">
        <f t="shared" si="5"/>
        <v>0</v>
      </c>
      <c r="K21" s="1">
        <f t="shared" si="0"/>
        <v>0.16960900499266915</v>
      </c>
      <c r="L21" s="1">
        <f t="shared" si="1"/>
        <v>-7.5160222762053058E-2</v>
      </c>
      <c r="N21" s="25">
        <f t="shared" si="2"/>
        <v>182.13996336255005</v>
      </c>
      <c r="O21" s="19">
        <f>L21*E21*1000/COS(G21*3.14/180)-J21*E21*L2*1000/COS(3.14*G2/180)</f>
        <v>-66.865101056264464</v>
      </c>
      <c r="P21" s="20">
        <f t="shared" si="3"/>
        <v>250</v>
      </c>
    </row>
    <row r="22" spans="1:16" x14ac:dyDescent="0.25">
      <c r="A22">
        <f>'Airfoil Interpolation'!M24</f>
        <v>0.26382333333333335</v>
      </c>
      <c r="B22">
        <f>'Airfoil Interpolation'!N24</f>
        <v>-5.1263333333333334E-2</v>
      </c>
      <c r="D22">
        <f t="shared" si="6"/>
        <v>0.25</v>
      </c>
      <c r="E22">
        <f t="shared" si="6"/>
        <v>0.88020833333333337</v>
      </c>
      <c r="F22">
        <f t="shared" si="6"/>
        <v>3.125E-2</v>
      </c>
      <c r="G22">
        <f t="shared" si="6"/>
        <v>-8.3521036481733404</v>
      </c>
      <c r="J22">
        <f t="shared" si="5"/>
        <v>0</v>
      </c>
      <c r="K22" s="1">
        <f t="shared" si="0"/>
        <v>0.25358552375251364</v>
      </c>
      <c r="L22" s="1">
        <f t="shared" si="1"/>
        <v>-8.9976133021320029E-2</v>
      </c>
      <c r="N22" s="25">
        <f t="shared" si="2"/>
        <v>256.8483424343753</v>
      </c>
      <c r="O22" s="19">
        <f>L22*E22*1000/COS(G22*3.14/180)-J22*E22*L2*1000/COS(3.14*G2/180)</f>
        <v>-80.045840818874623</v>
      </c>
      <c r="P22" s="20">
        <f t="shared" si="3"/>
        <v>250</v>
      </c>
    </row>
    <row r="23" spans="1:16" x14ac:dyDescent="0.25">
      <c r="A23">
        <f>'Airfoil Interpolation'!M25</f>
        <v>0.34959999999999997</v>
      </c>
      <c r="B23">
        <f>'Airfoil Interpolation'!N25</f>
        <v>-5.1066666666666663E-2</v>
      </c>
      <c r="D23">
        <f t="shared" si="6"/>
        <v>0.25</v>
      </c>
      <c r="E23">
        <f t="shared" si="6"/>
        <v>0.88020833333333337</v>
      </c>
      <c r="F23">
        <f t="shared" si="6"/>
        <v>3.125E-2</v>
      </c>
      <c r="G23">
        <f t="shared" si="6"/>
        <v>-8.3521036481733404</v>
      </c>
      <c r="J23">
        <f t="shared" si="5"/>
        <v>0</v>
      </c>
      <c r="K23" s="1">
        <f t="shared" si="0"/>
        <v>0.33848192528570098</v>
      </c>
      <c r="L23" s="1">
        <f t="shared" si="1"/>
        <v>-0.10236612755938582</v>
      </c>
      <c r="N23" s="25">
        <f t="shared" si="2"/>
        <v>332.37508063738909</v>
      </c>
      <c r="O23" s="19">
        <f>L23*E23*1000/COS(G23*3.14/180)-J23*E23*L2*1000/COS(3.14*G2/180)</f>
        <v>-91.068403105539474</v>
      </c>
      <c r="P23" s="20">
        <f t="shared" si="3"/>
        <v>250</v>
      </c>
    </row>
    <row r="24" spans="1:16" x14ac:dyDescent="0.25">
      <c r="A24">
        <f>'Airfoil Interpolation'!M26</f>
        <v>0.43561</v>
      </c>
      <c r="B24">
        <f>'Airfoil Interpolation'!N26</f>
        <v>-4.8586666666666667E-2</v>
      </c>
      <c r="D24">
        <f t="shared" si="6"/>
        <v>0.25</v>
      </c>
      <c r="E24">
        <f t="shared" si="6"/>
        <v>0.88020833333333337</v>
      </c>
      <c r="F24">
        <f t="shared" si="6"/>
        <v>3.125E-2</v>
      </c>
      <c r="G24">
        <f t="shared" si="6"/>
        <v>-8.3521036481733404</v>
      </c>
      <c r="J24">
        <f t="shared" si="5"/>
        <v>0</v>
      </c>
      <c r="K24" s="1">
        <f t="shared" si="0"/>
        <v>0.42394068885615738</v>
      </c>
      <c r="L24" s="1">
        <f t="shared" si="1"/>
        <v>-0.11250702753473703</v>
      </c>
      <c r="N24" s="25">
        <f t="shared" si="2"/>
        <v>408.40211531465945</v>
      </c>
      <c r="O24" s="19">
        <f>L24*E24*1000/COS(G24*3.14/180)-J24*E24*L2*1000/COS(3.14*G2/180)</f>
        <v>-100.09009405768063</v>
      </c>
      <c r="P24" s="20">
        <f t="shared" si="3"/>
        <v>250</v>
      </c>
    </row>
    <row r="25" spans="1:16" x14ac:dyDescent="0.25">
      <c r="A25">
        <f>'Airfoil Interpolation'!M27</f>
        <v>0.52198166666666668</v>
      </c>
      <c r="B25">
        <f>'Airfoil Interpolation'!N27</f>
        <v>-4.4295000000000001E-2</v>
      </c>
      <c r="D25">
        <f t="shared" si="6"/>
        <v>0.25</v>
      </c>
      <c r="E25">
        <f t="shared" si="6"/>
        <v>0.88020833333333337</v>
      </c>
      <c r="F25">
        <f t="shared" si="6"/>
        <v>3.125E-2</v>
      </c>
      <c r="G25">
        <f t="shared" si="6"/>
        <v>-8.3521036481733404</v>
      </c>
      <c r="J25">
        <f t="shared" si="5"/>
        <v>0</v>
      </c>
      <c r="K25" s="1">
        <f t="shared" si="0"/>
        <v>0.51002031015970528</v>
      </c>
      <c r="L25" s="1">
        <f t="shared" si="1"/>
        <v>-0.12088933093788055</v>
      </c>
      <c r="N25" s="25">
        <f t="shared" si="2"/>
        <v>484.98148623494711</v>
      </c>
      <c r="O25" s="19">
        <f>L25*E25*1000/COS(G25*3.14/180)-J25*E25*L2*1000/COS(3.14*G2/180)</f>
        <v>-107.54727743923972</v>
      </c>
      <c r="P25" s="20">
        <f t="shared" si="3"/>
        <v>250</v>
      </c>
    </row>
    <row r="26" spans="1:16" x14ac:dyDescent="0.25">
      <c r="A26">
        <f>'Airfoil Interpolation'!M28</f>
        <v>0.60838999999999999</v>
      </c>
      <c r="B26">
        <f>'Airfoil Interpolation'!N28</f>
        <v>-3.8611666666666669E-2</v>
      </c>
      <c r="D26">
        <f t="shared" si="6"/>
        <v>0.25</v>
      </c>
      <c r="E26">
        <f t="shared" si="6"/>
        <v>0.88020833333333337</v>
      </c>
      <c r="F26">
        <f t="shared" si="6"/>
        <v>3.125E-2</v>
      </c>
      <c r="G26">
        <f t="shared" si="6"/>
        <v>-8.3521036481733404</v>
      </c>
      <c r="J26">
        <f t="shared" si="5"/>
        <v>0</v>
      </c>
      <c r="K26" s="1">
        <f t="shared" si="0"/>
        <v>0.59633825581485311</v>
      </c>
      <c r="L26" s="1">
        <f t="shared" si="1"/>
        <v>-0.12788534805259749</v>
      </c>
      <c r="N26" s="25">
        <f t="shared" si="2"/>
        <v>561.77287863771949</v>
      </c>
      <c r="O26" s="19">
        <f>L26*E26*1000/COS(G26*3.14/180)-J26*E26*L2*1000/COS(3.14*G2/180)</f>
        <v>-113.77117319388458</v>
      </c>
      <c r="P26" s="20">
        <f t="shared" si="3"/>
        <v>250</v>
      </c>
    </row>
    <row r="27" spans="1:16" x14ac:dyDescent="0.25">
      <c r="A27">
        <f>'Airfoil Interpolation'!M29</f>
        <v>0.69470500000000002</v>
      </c>
      <c r="B27">
        <f>'Airfoil Interpolation'!N29</f>
        <v>-3.1625E-2</v>
      </c>
      <c r="D27">
        <f t="shared" si="6"/>
        <v>0.25</v>
      </c>
      <c r="E27">
        <f t="shared" si="6"/>
        <v>0.88020833333333337</v>
      </c>
      <c r="F27">
        <f t="shared" si="6"/>
        <v>3.125E-2</v>
      </c>
      <c r="G27">
        <f t="shared" si="6"/>
        <v>-8.3521036481733404</v>
      </c>
      <c r="J27">
        <f t="shared" si="5"/>
        <v>0</v>
      </c>
      <c r="K27" s="1">
        <f t="shared" si="0"/>
        <v>0.68275307870508684</v>
      </c>
      <c r="L27" s="1">
        <f t="shared" si="1"/>
        <v>-0.13356433632573361</v>
      </c>
      <c r="N27" s="25">
        <f t="shared" si="2"/>
        <v>638.65045633739521</v>
      </c>
      <c r="O27" s="19">
        <f>L27*E27*1000/COS(G27*3.14/180)-J27*E27*L2*1000/COS(3.14*G2/180)</f>
        <v>-118.82339511162354</v>
      </c>
      <c r="P27" s="20">
        <f t="shared" si="3"/>
        <v>250</v>
      </c>
    </row>
    <row r="28" spans="1:16" x14ac:dyDescent="0.25">
      <c r="A28">
        <f>'Airfoil Interpolation'!M30</f>
        <v>0.78090833333333332</v>
      </c>
      <c r="B28">
        <f>'Airfoil Interpolation'!N30</f>
        <v>-2.3741666666666668E-2</v>
      </c>
      <c r="D28">
        <f t="shared" si="6"/>
        <v>0.25</v>
      </c>
      <c r="E28">
        <f t="shared" si="6"/>
        <v>0.88020833333333337</v>
      </c>
      <c r="F28">
        <f t="shared" si="6"/>
        <v>3.125E-2</v>
      </c>
      <c r="G28">
        <f t="shared" si="6"/>
        <v>-8.3521036481733404</v>
      </c>
      <c r="J28">
        <f t="shared" si="5"/>
        <v>0</v>
      </c>
      <c r="K28" s="1">
        <f t="shared" si="0"/>
        <v>0.76918759870398523</v>
      </c>
      <c r="L28" s="1">
        <f t="shared" si="1"/>
        <v>-0.13833027223483554</v>
      </c>
      <c r="N28" s="25">
        <f t="shared" si="2"/>
        <v>715.54555725763885</v>
      </c>
      <c r="O28" s="19">
        <f>L28*E28*1000/COS(G28*3.14/180)-J28*E28*L2*1000/COS(3.14*G2/180)</f>
        <v>-123.06333446356854</v>
      </c>
      <c r="P28" s="20">
        <f t="shared" si="3"/>
        <v>250</v>
      </c>
    </row>
    <row r="29" spans="1:16" x14ac:dyDescent="0.25">
      <c r="A29">
        <f>'Airfoil Interpolation'!M31</f>
        <v>0.86703833333333324</v>
      </c>
      <c r="B29">
        <f>'Airfoil Interpolation'!N31</f>
        <v>-1.4800000000000001E-2</v>
      </c>
      <c r="D29">
        <f t="shared" si="6"/>
        <v>0.25</v>
      </c>
      <c r="E29">
        <f t="shared" si="6"/>
        <v>0.88020833333333337</v>
      </c>
      <c r="F29">
        <f t="shared" si="6"/>
        <v>3.125E-2</v>
      </c>
      <c r="G29">
        <f t="shared" si="6"/>
        <v>-8.3521036481733404</v>
      </c>
      <c r="J29">
        <f t="shared" si="5"/>
        <v>0</v>
      </c>
      <c r="K29" s="1">
        <f t="shared" si="0"/>
        <v>0.8557032142291835</v>
      </c>
      <c r="L29" s="1">
        <f t="shared" si="1"/>
        <v>-0.14202711405412394</v>
      </c>
      <c r="N29" s="25">
        <f t="shared" si="2"/>
        <v>792.51280352766946</v>
      </c>
      <c r="O29" s="19">
        <f>L29*E29*1000/COS(G29*3.14/180)-J29*E29*L2*1000/COS(3.14*G2/180)</f>
        <v>-126.35217120129764</v>
      </c>
      <c r="P29" s="20">
        <f t="shared" si="3"/>
        <v>250</v>
      </c>
    </row>
    <row r="30" spans="1:16" x14ac:dyDescent="0.25">
      <c r="A30">
        <f>'Airfoil Interpolation'!M32</f>
        <v>0.95239666666666667</v>
      </c>
      <c r="B30">
        <f>'Airfoil Interpolation'!N32</f>
        <v>-5.3100000000000005E-3</v>
      </c>
      <c r="D30">
        <f t="shared" si="6"/>
        <v>0.25</v>
      </c>
      <c r="E30">
        <f t="shared" si="6"/>
        <v>0.88020833333333337</v>
      </c>
      <c r="F30">
        <f t="shared" si="6"/>
        <v>3.125E-2</v>
      </c>
      <c r="G30">
        <f t="shared" si="6"/>
        <v>-8.3521036481733404</v>
      </c>
      <c r="J30">
        <f t="shared" si="5"/>
        <v>0</v>
      </c>
      <c r="K30" s="1">
        <f t="shared" si="0"/>
        <v>0.94153494763421097</v>
      </c>
      <c r="L30" s="1">
        <f t="shared" si="1"/>
        <v>-0.14506239003439003</v>
      </c>
      <c r="N30" s="25">
        <f t="shared" si="2"/>
        <v>868.87164490751559</v>
      </c>
      <c r="O30" s="19">
        <f>L30*E30*1000/COS(G30*3.14/180)-J30*E30*L2*1000/COS(3.14*G2/180)</f>
        <v>-129.05245637470205</v>
      </c>
      <c r="P30" s="20">
        <f t="shared" si="3"/>
        <v>250</v>
      </c>
    </row>
    <row r="31" spans="1:16" ht="15.75" thickBot="1" x14ac:dyDescent="0.3">
      <c r="A31">
        <f>'Airfoil Interpolation'!M33</f>
        <v>1</v>
      </c>
      <c r="B31">
        <f>'Airfoil Interpolation'!N33</f>
        <v>-5.8333333333333414E-5</v>
      </c>
      <c r="D31">
        <f t="shared" si="6"/>
        <v>0.25</v>
      </c>
      <c r="E31">
        <f t="shared" si="6"/>
        <v>0.88020833333333337</v>
      </c>
      <c r="F31">
        <f t="shared" si="6"/>
        <v>3.125E-2</v>
      </c>
      <c r="G31">
        <f t="shared" si="6"/>
        <v>-8.3521036481733404</v>
      </c>
      <c r="J31">
        <f t="shared" si="5"/>
        <v>0</v>
      </c>
      <c r="K31" s="1">
        <f t="shared" si="0"/>
        <v>0.98939636798054231</v>
      </c>
      <c r="L31" s="1">
        <f t="shared" si="1"/>
        <v>-0.14679592169923486</v>
      </c>
      <c r="N31" s="26">
        <f t="shared" si="2"/>
        <v>911.45079902052805</v>
      </c>
      <c r="O31" s="27">
        <f>L31*E31*1000/COS(G31*3.14/180)-J31*E31*L2*1000/COS(3.14*G2/180)</f>
        <v>-130.59466534767233</v>
      </c>
      <c r="P31" s="28">
        <f t="shared" si="3"/>
        <v>250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activeCell="U31" sqref="U31"/>
    </sheetView>
  </sheetViews>
  <sheetFormatPr defaultRowHeight="15" x14ac:dyDescent="0.25"/>
  <sheetData>
    <row r="1" spans="1:16" ht="15.75" thickBot="1" x14ac:dyDescent="0.3">
      <c r="A1">
        <v>4</v>
      </c>
      <c r="D1" t="s">
        <v>0</v>
      </c>
      <c r="E1" t="s">
        <v>1</v>
      </c>
      <c r="F1" t="s">
        <v>2</v>
      </c>
      <c r="G1" t="s">
        <v>5</v>
      </c>
      <c r="J1" t="s">
        <v>10</v>
      </c>
      <c r="K1" t="s">
        <v>9</v>
      </c>
      <c r="N1" s="6" t="s">
        <v>6</v>
      </c>
      <c r="O1" s="6" t="s">
        <v>7</v>
      </c>
      <c r="P1" s="6" t="s">
        <v>8</v>
      </c>
    </row>
    <row r="2" spans="1:16" x14ac:dyDescent="0.25">
      <c r="A2">
        <f>'Airfoil Interpolation'!Q4</f>
        <v>1</v>
      </c>
      <c r="B2">
        <f>'Airfoil Interpolation'!R4</f>
        <v>3.6749999999999988E-4</v>
      </c>
      <c r="D2" s="4">
        <f>'Loft Viewer'!E5</f>
        <v>0.375</v>
      </c>
      <c r="E2" s="4">
        <f>'Loft Viewer'!E6</f>
        <v>0.85390625000000009</v>
      </c>
      <c r="F2" s="4">
        <f>'Loft Viewer'!E7</f>
        <v>7.03125E-2</v>
      </c>
      <c r="G2" s="4">
        <f>-'Loft Viewer'!E8</f>
        <v>-8.0460151287766841</v>
      </c>
      <c r="J2">
        <f>'Loft Viewer'!B2</f>
        <v>0</v>
      </c>
      <c r="K2" s="1">
        <f>((A2)*COS(3.14*G2/180)-B2*SIN(3.14*G2/180))</f>
        <v>0.99021735186794013</v>
      </c>
      <c r="L2" s="1">
        <f>((A2)*SIN(3.14*G2/180)+B2*COS(3.14*G2/180))/COS(3.14*G2/180)</f>
        <v>-0.14091979213131259</v>
      </c>
      <c r="N2" s="22">
        <f>K2*E2*1000/COS(G2*3.14/180)+F2*1000</f>
        <v>924.26308744241021</v>
      </c>
      <c r="O2" s="23">
        <f>L2*E2*1000/COS(G2*3.14/180)-J2*E2*L2*1000/COS(3.14*G2/180)</f>
        <v>-121.52739905616762</v>
      </c>
      <c r="P2" s="24">
        <f>D2*1000</f>
        <v>375</v>
      </c>
    </row>
    <row r="3" spans="1:16" x14ac:dyDescent="0.25">
      <c r="A3">
        <f>'Airfoil Interpolation'!Q5</f>
        <v>0.9529725</v>
      </c>
      <c r="B3">
        <f>'Airfoil Interpolation'!R5</f>
        <v>5.6600000000000001E-3</v>
      </c>
      <c r="D3">
        <f>D2</f>
        <v>0.375</v>
      </c>
      <c r="E3">
        <f>E2</f>
        <v>0.85390625000000009</v>
      </c>
      <c r="F3">
        <f>F2</f>
        <v>7.03125E-2</v>
      </c>
      <c r="G3">
        <f>G2</f>
        <v>-8.0460151287766841</v>
      </c>
      <c r="J3">
        <f>J2</f>
        <v>0</v>
      </c>
      <c r="K3" s="1">
        <f t="shared" ref="K3:K31" si="0">((A3)*COS(3.14*G3/180)-B3*SIN(3.14*G3/180))</f>
        <v>0.9443927325996887</v>
      </c>
      <c r="L3" s="1">
        <f t="shared" ref="L3:L31" si="1">((A3)*SIN(3.14*G3/180)+B3*COS(3.14*G3/180))/COS(3.14*G3/180)</f>
        <v>-0.12898290400060725</v>
      </c>
      <c r="N3" s="25">
        <f t="shared" ref="N3:N31" si="2">K3*E3*1000/COS(G3*3.14/180)+F3*1000</f>
        <v>884.74453076429336</v>
      </c>
      <c r="O3" s="19">
        <f>L3*E3*1000/COS(G3*3.14/180)-J3*E3*L2*1000/COS(3.14*G2/180)</f>
        <v>-111.23318171871017</v>
      </c>
      <c r="P3" s="20">
        <f t="shared" ref="P3:P31" si="3">D3*1000</f>
        <v>375</v>
      </c>
    </row>
    <row r="4" spans="1:16" x14ac:dyDescent="0.25">
      <c r="A4">
        <f>'Airfoil Interpolation'!Q6</f>
        <v>0.8677475</v>
      </c>
      <c r="B4">
        <f>'Airfoil Interpolation'!R6</f>
        <v>1.5905000000000002E-2</v>
      </c>
      <c r="D4">
        <f t="shared" ref="D4:G19" si="4">D3</f>
        <v>0.375</v>
      </c>
      <c r="E4">
        <f t="shared" si="4"/>
        <v>0.85390625000000009</v>
      </c>
      <c r="F4">
        <f t="shared" si="4"/>
        <v>7.03125E-2</v>
      </c>
      <c r="G4">
        <f t="shared" si="4"/>
        <v>-8.0460151287766841</v>
      </c>
      <c r="J4">
        <f t="shared" ref="J4:J31" si="5">J3</f>
        <v>0</v>
      </c>
      <c r="K4" s="1">
        <f t="shared" si="0"/>
        <v>0.86143909403423724</v>
      </c>
      <c r="L4" s="1">
        <f t="shared" si="1"/>
        <v>-0.10669669452871614</v>
      </c>
      <c r="N4" s="25">
        <f t="shared" si="2"/>
        <v>813.20638992094848</v>
      </c>
      <c r="O4" s="19">
        <f>L4*E4*1000/COS(G4*3.14/180)-J4*E4*L2*1000/COS(3.14*G2/180)</f>
        <v>-92.013844030388071</v>
      </c>
      <c r="P4" s="20">
        <f t="shared" si="3"/>
        <v>375</v>
      </c>
    </row>
    <row r="5" spans="1:16" x14ac:dyDescent="0.25">
      <c r="A5">
        <f>'Airfoil Interpolation'!Q7</f>
        <v>0.78198000000000001</v>
      </c>
      <c r="B5">
        <f>'Airfoil Interpolation'!R7</f>
        <v>2.73125E-2</v>
      </c>
      <c r="D5">
        <f t="shared" si="4"/>
        <v>0.375</v>
      </c>
      <c r="E5">
        <f t="shared" si="4"/>
        <v>0.85390625000000009</v>
      </c>
      <c r="F5">
        <f t="shared" si="4"/>
        <v>7.03125E-2</v>
      </c>
      <c r="G5">
        <f t="shared" si="4"/>
        <v>-8.0460151287766841</v>
      </c>
      <c r="J5">
        <f t="shared" si="5"/>
        <v>0</v>
      </c>
      <c r="K5" s="1">
        <f t="shared" si="0"/>
        <v>0.7781109217139538</v>
      </c>
      <c r="L5" s="1">
        <f t="shared" si="1"/>
        <v>-8.3171336700843812E-2</v>
      </c>
      <c r="N5" s="25">
        <f t="shared" si="2"/>
        <v>741.34525603031716</v>
      </c>
      <c r="O5" s="19">
        <f>L5*E5*1000/COS(G5*3.14/180)-J5*E5*L2*1000/COS(3.14*G2/180)</f>
        <v>-71.725880888752769</v>
      </c>
      <c r="P5" s="20">
        <f t="shared" si="3"/>
        <v>375</v>
      </c>
    </row>
    <row r="6" spans="1:16" x14ac:dyDescent="0.25">
      <c r="A6">
        <f>'Airfoil Interpolation'!Q8</f>
        <v>0.6962275</v>
      </c>
      <c r="B6">
        <f>'Airfoil Interpolation'!R8</f>
        <v>3.9707499999999993E-2</v>
      </c>
      <c r="D6">
        <f t="shared" si="4"/>
        <v>0.375</v>
      </c>
      <c r="E6">
        <f t="shared" si="4"/>
        <v>0.85390625000000009</v>
      </c>
      <c r="F6">
        <f t="shared" si="4"/>
        <v>7.03125E-2</v>
      </c>
      <c r="G6">
        <f t="shared" si="4"/>
        <v>-8.0460151287766841</v>
      </c>
      <c r="J6">
        <f t="shared" si="5"/>
        <v>0</v>
      </c>
      <c r="K6" s="1">
        <f t="shared" si="0"/>
        <v>0.6949357510237959</v>
      </c>
      <c r="L6" s="1">
        <f t="shared" si="1"/>
        <v>-5.8660598182353432E-2</v>
      </c>
      <c r="N6" s="25">
        <f t="shared" si="2"/>
        <v>669.61606875895973</v>
      </c>
      <c r="O6" s="19">
        <f>L6*E6*1000/COS(G6*3.14/180)-J6*E6*L2*1000/COS(3.14*G2/180)</f>
        <v>-50.588138233538608</v>
      </c>
      <c r="P6" s="20">
        <f t="shared" si="3"/>
        <v>375</v>
      </c>
    </row>
    <row r="7" spans="1:16" x14ac:dyDescent="0.25">
      <c r="A7">
        <f>'Airfoil Interpolation'!Q9</f>
        <v>0.61061750000000004</v>
      </c>
      <c r="B7">
        <f>'Airfoil Interpolation'!R9</f>
        <v>5.3144999999999998E-2</v>
      </c>
      <c r="D7">
        <f t="shared" si="4"/>
        <v>0.375</v>
      </c>
      <c r="E7">
        <f t="shared" si="4"/>
        <v>0.85390625000000009</v>
      </c>
      <c r="F7">
        <f t="shared" si="4"/>
        <v>7.03125E-2</v>
      </c>
      <c r="G7">
        <f t="shared" si="4"/>
        <v>-8.0460151287766841</v>
      </c>
      <c r="J7">
        <f t="shared" si="5"/>
        <v>0</v>
      </c>
      <c r="K7" s="1">
        <f t="shared" si="0"/>
        <v>0.6120475225035763</v>
      </c>
      <c r="L7" s="1">
        <f t="shared" si="1"/>
        <v>-3.3127493102991769E-2</v>
      </c>
      <c r="N7" s="25">
        <f t="shared" si="2"/>
        <v>598.13433668935022</v>
      </c>
      <c r="O7" s="19">
        <f>L7*E7*1000/COS(G7*3.14/180)-J7*E7*L2*1000/COS(3.14*G2/180)</f>
        <v>-28.568719930457245</v>
      </c>
      <c r="P7" s="20">
        <f t="shared" si="3"/>
        <v>375</v>
      </c>
    </row>
    <row r="8" spans="1:16" x14ac:dyDescent="0.25">
      <c r="A8">
        <f>'Airfoil Interpolation'!Q10</f>
        <v>0.5251475000000001</v>
      </c>
      <c r="B8">
        <f>'Airfoil Interpolation'!R10</f>
        <v>6.6450000000000009E-2</v>
      </c>
      <c r="D8">
        <f t="shared" si="4"/>
        <v>0.375</v>
      </c>
      <c r="E8">
        <f t="shared" si="4"/>
        <v>0.85390625000000009</v>
      </c>
      <c r="F8">
        <f t="shared" si="4"/>
        <v>7.03125E-2</v>
      </c>
      <c r="G8">
        <f t="shared" si="4"/>
        <v>-8.0460151287766841</v>
      </c>
      <c r="J8">
        <f t="shared" si="5"/>
        <v>0</v>
      </c>
      <c r="K8" s="1">
        <f t="shared" si="0"/>
        <v>0.52927938074784819</v>
      </c>
      <c r="L8" s="1">
        <f t="shared" si="1"/>
        <v>-7.7466682445284842E-3</v>
      </c>
      <c r="N8" s="25">
        <f t="shared" si="2"/>
        <v>526.7561658862528</v>
      </c>
      <c r="O8" s="19">
        <f>L8*E8*1000/COS(G8*3.14/180)-J8*E8*L2*1000/COS(3.14*G2/180)</f>
        <v>-6.680626112698949</v>
      </c>
      <c r="P8" s="20">
        <f t="shared" si="3"/>
        <v>375</v>
      </c>
    </row>
    <row r="9" spans="1:16" x14ac:dyDescent="0.25">
      <c r="A9">
        <f>'Airfoil Interpolation'!Q11</f>
        <v>0.4400075</v>
      </c>
      <c r="B9">
        <f>'Airfoil Interpolation'!R11</f>
        <v>7.7234999999999998E-2</v>
      </c>
      <c r="D9">
        <f t="shared" si="4"/>
        <v>0.375</v>
      </c>
      <c r="E9">
        <f t="shared" si="4"/>
        <v>0.85390625000000009</v>
      </c>
      <c r="F9">
        <f t="shared" si="4"/>
        <v>7.03125E-2</v>
      </c>
      <c r="G9">
        <f t="shared" si="4"/>
        <v>-8.0460151287766841</v>
      </c>
      <c r="J9">
        <f t="shared" si="5"/>
        <v>0</v>
      </c>
      <c r="K9" s="1">
        <f t="shared" si="0"/>
        <v>0.44648545113398885</v>
      </c>
      <c r="L9" s="1">
        <f t="shared" si="1"/>
        <v>1.5067531807531488E-2</v>
      </c>
      <c r="N9" s="25">
        <f t="shared" si="2"/>
        <v>455.35575596912798</v>
      </c>
      <c r="O9" s="19">
        <f>L9*E9*1000/COS(G9*3.14/180)-J9*E9*L2*1000/COS(3.14*G2/180)</f>
        <v>12.994043796623661</v>
      </c>
      <c r="P9" s="20">
        <f t="shared" si="3"/>
        <v>375</v>
      </c>
    </row>
    <row r="10" spans="1:16" x14ac:dyDescent="0.25">
      <c r="A10">
        <f>'Airfoil Interpolation'!Q12</f>
        <v>0.35493249999999998</v>
      </c>
      <c r="B10">
        <f>'Airfoil Interpolation'!R12</f>
        <v>8.4389999999999993E-2</v>
      </c>
      <c r="D10">
        <f t="shared" si="4"/>
        <v>0.375</v>
      </c>
      <c r="E10">
        <f t="shared" si="4"/>
        <v>0.85390625000000009</v>
      </c>
      <c r="F10">
        <f t="shared" si="4"/>
        <v>7.03125E-2</v>
      </c>
      <c r="G10">
        <f t="shared" si="4"/>
        <v>-8.0460151287766841</v>
      </c>
      <c r="J10">
        <f t="shared" si="5"/>
        <v>0</v>
      </c>
      <c r="K10" s="1">
        <f t="shared" si="0"/>
        <v>0.36324805305864066</v>
      </c>
      <c r="L10" s="1">
        <f t="shared" si="1"/>
        <v>3.4242548185602899E-2</v>
      </c>
      <c r="N10" s="25">
        <f t="shared" si="2"/>
        <v>383.57290460873196</v>
      </c>
      <c r="O10" s="19">
        <f>L10*E10*1000/COS(G10*3.14/180)-J10*E10*L2*1000/COS(3.14*G2/180)</f>
        <v>29.530328956021375</v>
      </c>
      <c r="P10" s="20">
        <f t="shared" si="3"/>
        <v>375</v>
      </c>
    </row>
    <row r="11" spans="1:16" x14ac:dyDescent="0.25">
      <c r="A11">
        <f>'Airfoil Interpolation'!Q13</f>
        <v>0.27059</v>
      </c>
      <c r="B11">
        <f>'Airfoil Interpolation'!R13</f>
        <v>8.5762499999999992E-2</v>
      </c>
      <c r="D11">
        <f t="shared" si="4"/>
        <v>0.375</v>
      </c>
      <c r="E11">
        <f t="shared" si="4"/>
        <v>0.85390625000000009</v>
      </c>
      <c r="F11">
        <f t="shared" si="4"/>
        <v>7.03125E-2</v>
      </c>
      <c r="G11">
        <f t="shared" si="4"/>
        <v>-8.0460151287766841</v>
      </c>
      <c r="J11">
        <f t="shared" si="5"/>
        <v>0</v>
      </c>
      <c r="K11" s="1">
        <f t="shared" si="0"/>
        <v>0.27992699213336553</v>
      </c>
      <c r="L11" s="1">
        <f t="shared" si="1"/>
        <v>4.7531571622188122E-2</v>
      </c>
      <c r="N11" s="25">
        <f t="shared" si="2"/>
        <v>311.71790349282264</v>
      </c>
      <c r="O11" s="19">
        <f>L11*E11*1000/COS(G11*3.14/180)-J11*E11*L2*1000/COS(3.14*G2/180)</f>
        <v>40.990610225381872</v>
      </c>
      <c r="P11" s="20">
        <f t="shared" si="3"/>
        <v>375</v>
      </c>
    </row>
    <row r="12" spans="1:16" x14ac:dyDescent="0.25">
      <c r="A12">
        <f>'Airfoil Interpolation'!Q14</f>
        <v>0.18692499999999998</v>
      </c>
      <c r="B12">
        <f>'Airfoil Interpolation'!R14</f>
        <v>8.0919999999999992E-2</v>
      </c>
      <c r="D12">
        <f t="shared" si="4"/>
        <v>0.375</v>
      </c>
      <c r="E12">
        <f t="shared" si="4"/>
        <v>0.85390625000000009</v>
      </c>
      <c r="F12">
        <f t="shared" si="4"/>
        <v>7.03125E-2</v>
      </c>
      <c r="G12">
        <f t="shared" si="4"/>
        <v>-8.0460151287766841</v>
      </c>
      <c r="J12">
        <f t="shared" si="5"/>
        <v>0</v>
      </c>
      <c r="K12" s="1">
        <f t="shared" si="0"/>
        <v>0.19640730340516957</v>
      </c>
      <c r="L12" s="1">
        <f t="shared" si="1"/>
        <v>5.4509872918354393E-2</v>
      </c>
      <c r="N12" s="25">
        <f t="shared" si="2"/>
        <v>239.69160833862304</v>
      </c>
      <c r="O12" s="19">
        <f>L12*E12*1000/COS(G12*3.14/180)-J12*E12*L2*1000/COS(3.14*G2/180)</f>
        <v>47.008606658155003</v>
      </c>
      <c r="P12" s="20">
        <f t="shared" si="3"/>
        <v>375</v>
      </c>
    </row>
    <row r="13" spans="1:16" x14ac:dyDescent="0.25">
      <c r="A13">
        <f>'Airfoil Interpolation'!Q15</f>
        <v>0.10728</v>
      </c>
      <c r="B13">
        <f>'Airfoil Interpolation'!R15</f>
        <v>6.6347500000000004E-2</v>
      </c>
      <c r="D13">
        <f t="shared" si="4"/>
        <v>0.375</v>
      </c>
      <c r="E13">
        <f t="shared" si="4"/>
        <v>0.85390625000000009</v>
      </c>
      <c r="F13">
        <f t="shared" si="4"/>
        <v>7.03125E-2</v>
      </c>
      <c r="G13">
        <f t="shared" si="4"/>
        <v>-8.0460151287766841</v>
      </c>
      <c r="J13">
        <f t="shared" si="5"/>
        <v>0</v>
      </c>
      <c r="K13" s="1">
        <f t="shared" si="0"/>
        <v>0.11550687553335565</v>
      </c>
      <c r="L13" s="1">
        <f t="shared" si="1"/>
        <v>5.1190199300152797E-2</v>
      </c>
      <c r="N13" s="25">
        <f t="shared" si="2"/>
        <v>169.92412973894352</v>
      </c>
      <c r="O13" s="19">
        <f>L13*E13*1000/COS(G13*3.14/180)-J13*E13*L2*1000/COS(3.14*G2/180)</f>
        <v>44.145763231878227</v>
      </c>
      <c r="P13" s="20">
        <f t="shared" si="3"/>
        <v>375</v>
      </c>
    </row>
    <row r="14" spans="1:16" x14ac:dyDescent="0.25">
      <c r="A14">
        <f>'Airfoil Interpolation'!Q16</f>
        <v>4.11025E-2</v>
      </c>
      <c r="B14">
        <f>'Airfoil Interpolation'!R16</f>
        <v>4.2477500000000001E-2</v>
      </c>
      <c r="D14">
        <f t="shared" si="4"/>
        <v>0.375</v>
      </c>
      <c r="E14">
        <f t="shared" si="4"/>
        <v>0.85390625000000009</v>
      </c>
      <c r="F14">
        <f t="shared" si="4"/>
        <v>7.03125E-2</v>
      </c>
      <c r="G14">
        <f t="shared" si="4"/>
        <v>-8.0460151287766841</v>
      </c>
      <c r="J14">
        <f t="shared" si="5"/>
        <v>0</v>
      </c>
      <c r="K14" s="1">
        <f t="shared" si="0"/>
        <v>4.6640807056758112E-2</v>
      </c>
      <c r="L14" s="1">
        <f t="shared" si="1"/>
        <v>3.6670239075172729E-2</v>
      </c>
      <c r="N14" s="25">
        <f t="shared" si="2"/>
        <v>110.53492642968598</v>
      </c>
      <c r="O14" s="19">
        <f>L14*E14*1000/COS(G14*3.14/180)-J14*E14*L2*1000/COS(3.14*G2/180)</f>
        <v>31.623938058473481</v>
      </c>
      <c r="P14" s="20">
        <f t="shared" si="3"/>
        <v>375</v>
      </c>
    </row>
    <row r="15" spans="1:16" x14ac:dyDescent="0.25">
      <c r="A15">
        <f>'Airfoil Interpolation'!Q17</f>
        <v>1.0987500000000001E-2</v>
      </c>
      <c r="B15">
        <f>'Airfoil Interpolation'!R17</f>
        <v>2.0867500000000001E-2</v>
      </c>
      <c r="D15">
        <f t="shared" si="4"/>
        <v>0.375</v>
      </c>
      <c r="E15">
        <f t="shared" si="4"/>
        <v>0.85390625000000009</v>
      </c>
      <c r="F15">
        <f t="shared" si="4"/>
        <v>7.03125E-2</v>
      </c>
      <c r="G15">
        <f t="shared" si="4"/>
        <v>-8.0460151287766841</v>
      </c>
      <c r="J15">
        <f t="shared" si="5"/>
        <v>0</v>
      </c>
      <c r="K15" s="1">
        <f t="shared" si="0"/>
        <v>1.379876694327976E-2</v>
      </c>
      <c r="L15" s="1">
        <f t="shared" si="1"/>
        <v>1.9315105877707205E-2</v>
      </c>
      <c r="N15" s="25">
        <f t="shared" si="2"/>
        <v>82.212377451113539</v>
      </c>
      <c r="O15" s="19">
        <f>L15*E15*1000/COS(G15*3.14/180)-J15*E15*L2*1000/COS(3.14*G2/180)</f>
        <v>16.657096524986116</v>
      </c>
      <c r="P15" s="20">
        <f t="shared" si="3"/>
        <v>375</v>
      </c>
    </row>
    <row r="16" spans="1:16" x14ac:dyDescent="0.25">
      <c r="A16">
        <f>'Airfoil Interpolation'!Q18</f>
        <v>1.255E-3</v>
      </c>
      <c r="B16">
        <f>'Airfoil Interpolation'!R18</f>
        <v>7.6150000000000002E-3</v>
      </c>
      <c r="D16">
        <f t="shared" si="4"/>
        <v>0.375</v>
      </c>
      <c r="E16">
        <f t="shared" si="4"/>
        <v>0.85390625000000009</v>
      </c>
      <c r="F16">
        <f t="shared" si="4"/>
        <v>7.03125E-2</v>
      </c>
      <c r="G16">
        <f t="shared" si="4"/>
        <v>-8.0460151287766841</v>
      </c>
      <c r="J16">
        <f t="shared" si="5"/>
        <v>0</v>
      </c>
      <c r="K16" s="1">
        <f t="shared" si="0"/>
        <v>2.3079804908910668E-3</v>
      </c>
      <c r="L16" s="1">
        <f t="shared" si="1"/>
        <v>7.4376844483752024E-3</v>
      </c>
      <c r="N16" s="25">
        <f t="shared" si="2"/>
        <v>72.302872408930369</v>
      </c>
      <c r="O16" s="19">
        <f>L16*E16*1000/COS(G16*3.14/180)-J16*E16*L2*1000/COS(3.14*G2/180)</f>
        <v>6.4141624986877996</v>
      </c>
      <c r="P16" s="20">
        <f t="shared" si="3"/>
        <v>375</v>
      </c>
    </row>
    <row r="17" spans="1:16" x14ac:dyDescent="0.25">
      <c r="A17">
        <f>'Airfoil Interpolation'!Q19</f>
        <v>5.1999999999999995E-4</v>
      </c>
      <c r="B17">
        <f>'Airfoil Interpolation'!R19</f>
        <v>-2.3799999999999997E-3</v>
      </c>
      <c r="D17">
        <f t="shared" si="4"/>
        <v>0.375</v>
      </c>
      <c r="E17">
        <f t="shared" si="4"/>
        <v>0.85390625000000009</v>
      </c>
      <c r="F17">
        <f t="shared" si="4"/>
        <v>7.03125E-2</v>
      </c>
      <c r="G17">
        <f t="shared" si="4"/>
        <v>-8.0460151287766841</v>
      </c>
      <c r="J17">
        <f t="shared" si="5"/>
        <v>0</v>
      </c>
      <c r="K17" s="1">
        <f t="shared" si="0"/>
        <v>1.8192937136292327E-4</v>
      </c>
      <c r="L17" s="1">
        <f t="shared" si="1"/>
        <v>-2.4534693919082825E-3</v>
      </c>
      <c r="N17" s="25">
        <f t="shared" si="2"/>
        <v>70.469393527724321</v>
      </c>
      <c r="O17" s="19">
        <f>L17*E17*1000/COS(G17*3.14/180)-J17*E17*L2*1000/COS(3.14*G2/180)</f>
        <v>-2.1158401481652369</v>
      </c>
      <c r="P17" s="20">
        <f t="shared" si="3"/>
        <v>375</v>
      </c>
    </row>
    <row r="18" spans="1:16" x14ac:dyDescent="0.25">
      <c r="A18">
        <f>'Airfoil Interpolation'!Q20</f>
        <v>8.4375000000000006E-3</v>
      </c>
      <c r="B18">
        <f>'Airfoil Interpolation'!R20</f>
        <v>-1.32925E-2</v>
      </c>
      <c r="D18">
        <f t="shared" si="4"/>
        <v>0.375</v>
      </c>
      <c r="E18">
        <f t="shared" si="4"/>
        <v>0.85390625000000009</v>
      </c>
      <c r="F18">
        <f t="shared" si="4"/>
        <v>7.03125E-2</v>
      </c>
      <c r="G18">
        <f t="shared" si="4"/>
        <v>-8.0460151287766841</v>
      </c>
      <c r="J18">
        <f t="shared" si="5"/>
        <v>0</v>
      </c>
      <c r="K18" s="1">
        <f t="shared" si="0"/>
        <v>6.4949327519865487E-3</v>
      </c>
      <c r="L18" s="1">
        <f t="shared" si="1"/>
        <v>-1.448461152735795E-2</v>
      </c>
      <c r="N18" s="25">
        <f t="shared" si="2"/>
        <v>75.913645676244982</v>
      </c>
      <c r="O18" s="19">
        <f>L18*E18*1000/COS(G18*3.14/180)-J18*E18*L2*1000/COS(3.14*G2/180)</f>
        <v>-12.491340915536728</v>
      </c>
      <c r="P18" s="20">
        <f t="shared" si="3"/>
        <v>375</v>
      </c>
    </row>
    <row r="19" spans="1:16" x14ac:dyDescent="0.25">
      <c r="A19">
        <f>'Airfoil Interpolation'!Q21</f>
        <v>3.3820000000000003E-2</v>
      </c>
      <c r="B19">
        <f>'Airfoil Interpolation'!R21</f>
        <v>-2.579E-2</v>
      </c>
      <c r="D19">
        <f t="shared" si="4"/>
        <v>0.375</v>
      </c>
      <c r="E19">
        <f t="shared" si="4"/>
        <v>0.85390625000000009</v>
      </c>
      <c r="F19">
        <f t="shared" si="4"/>
        <v>7.03125E-2</v>
      </c>
      <c r="G19">
        <f t="shared" si="4"/>
        <v>-8.0460151287766841</v>
      </c>
      <c r="J19">
        <f t="shared" si="5"/>
        <v>0</v>
      </c>
      <c r="K19" s="1">
        <f t="shared" si="0"/>
        <v>2.987944614930288E-2</v>
      </c>
      <c r="L19" s="1">
        <f t="shared" si="1"/>
        <v>-3.056833621988099E-2</v>
      </c>
      <c r="N19" s="25">
        <f t="shared" si="2"/>
        <v>96.080146409668174</v>
      </c>
      <c r="O19" s="19">
        <f>L19*E19*1000/COS(G19*3.14/180)-J19*E19*L2*1000/COS(3.14*G2/180)</f>
        <v>-26.361736262106831</v>
      </c>
      <c r="P19" s="20">
        <f t="shared" si="3"/>
        <v>375</v>
      </c>
    </row>
    <row r="20" spans="1:16" x14ac:dyDescent="0.25">
      <c r="A20">
        <f>'Airfoil Interpolation'!Q22</f>
        <v>9.6255000000000007E-2</v>
      </c>
      <c r="B20">
        <f>'Airfoil Interpolation'!R22</f>
        <v>-4.1207499999999994E-2</v>
      </c>
      <c r="D20">
        <f t="shared" ref="D20:G31" si="6">D19</f>
        <v>0.375</v>
      </c>
      <c r="E20">
        <f t="shared" si="6"/>
        <v>0.85390625000000009</v>
      </c>
      <c r="F20">
        <f t="shared" si="6"/>
        <v>7.03125E-2</v>
      </c>
      <c r="G20">
        <f t="shared" si="6"/>
        <v>-8.0460151287766841</v>
      </c>
      <c r="J20">
        <f t="shared" si="5"/>
        <v>0</v>
      </c>
      <c r="K20" s="1">
        <f t="shared" si="0"/>
        <v>8.9543581252471777E-2</v>
      </c>
      <c r="L20" s="1">
        <f t="shared" si="1"/>
        <v>-5.4807108304099489E-2</v>
      </c>
      <c r="N20" s="25">
        <f t="shared" si="2"/>
        <v>147.53372185397058</v>
      </c>
      <c r="O20" s="19">
        <f>L20*E20*1000/COS(G20*3.14/180)-J20*E20*L2*1000/COS(3.14*G2/180)</f>
        <v>-47.264938595569426</v>
      </c>
      <c r="P20" s="20">
        <f t="shared" si="3"/>
        <v>375</v>
      </c>
    </row>
    <row r="21" spans="1:16" x14ac:dyDescent="0.25">
      <c r="A21">
        <f>'Airfoil Interpolation'!Q23</f>
        <v>0.17817250000000001</v>
      </c>
      <c r="B21">
        <f>'Airfoil Interpolation'!R23</f>
        <v>-4.86925E-2</v>
      </c>
      <c r="D21">
        <f t="shared" si="6"/>
        <v>0.375</v>
      </c>
      <c r="E21">
        <f t="shared" si="6"/>
        <v>0.85390625000000009</v>
      </c>
      <c r="F21">
        <f t="shared" si="6"/>
        <v>7.03125E-2</v>
      </c>
      <c r="G21">
        <f t="shared" si="6"/>
        <v>-8.0460151287766841</v>
      </c>
      <c r="J21">
        <f t="shared" si="5"/>
        <v>0</v>
      </c>
      <c r="K21" s="1">
        <f t="shared" si="0"/>
        <v>0.1696083640789238</v>
      </c>
      <c r="L21" s="1">
        <f t="shared" si="1"/>
        <v>-7.3866010057266285E-2</v>
      </c>
      <c r="N21" s="25">
        <f t="shared" si="2"/>
        <v>216.5805510163988</v>
      </c>
      <c r="O21" s="19">
        <f>L21*E21*1000/COS(G21*3.14/180)-J21*E21*L2*1000/COS(3.14*G2/180)</f>
        <v>-63.701088010061341</v>
      </c>
      <c r="P21" s="20">
        <f t="shared" si="3"/>
        <v>375</v>
      </c>
    </row>
    <row r="22" spans="1:16" x14ac:dyDescent="0.25">
      <c r="A22">
        <f>'Airfoil Interpolation'!Q24</f>
        <v>0.263345</v>
      </c>
      <c r="B22">
        <f>'Airfoil Interpolation'!R24</f>
        <v>-5.1104999999999998E-2</v>
      </c>
      <c r="D22">
        <f t="shared" si="6"/>
        <v>0.375</v>
      </c>
      <c r="E22">
        <f t="shared" si="6"/>
        <v>0.85390625000000009</v>
      </c>
      <c r="F22">
        <f t="shared" si="6"/>
        <v>7.03125E-2</v>
      </c>
      <c r="G22">
        <f t="shared" si="6"/>
        <v>-8.0460151287766841</v>
      </c>
      <c r="J22">
        <f t="shared" si="5"/>
        <v>0</v>
      </c>
      <c r="K22" s="1">
        <f t="shared" si="0"/>
        <v>0.25360576895499082</v>
      </c>
      <c r="L22" s="1">
        <f t="shared" si="1"/>
        <v>-8.8312301946320504E-2</v>
      </c>
      <c r="N22" s="25">
        <f t="shared" si="2"/>
        <v>289.01882237393966</v>
      </c>
      <c r="O22" s="19">
        <f>L22*E22*1000/COS(G22*3.14/180)-J22*E22*L2*1000/COS(3.14*G2/180)</f>
        <v>-76.159382567060391</v>
      </c>
      <c r="P22" s="20">
        <f t="shared" si="3"/>
        <v>375</v>
      </c>
    </row>
    <row r="23" spans="1:16" x14ac:dyDescent="0.25">
      <c r="A23">
        <f>'Airfoil Interpolation'!Q25</f>
        <v>0.34917999999999999</v>
      </c>
      <c r="B23">
        <f>'Airfoil Interpolation'!R25</f>
        <v>-5.0924999999999998E-2</v>
      </c>
      <c r="D23">
        <f t="shared" si="6"/>
        <v>0.375</v>
      </c>
      <c r="E23">
        <f t="shared" si="6"/>
        <v>0.85390625000000009</v>
      </c>
      <c r="F23">
        <f t="shared" si="6"/>
        <v>7.03125E-2</v>
      </c>
      <c r="G23">
        <f t="shared" si="6"/>
        <v>-8.0460151287766841</v>
      </c>
      <c r="J23">
        <f t="shared" si="5"/>
        <v>0</v>
      </c>
      <c r="K23" s="1">
        <f t="shared" si="0"/>
        <v>0.3386218439792108</v>
      </c>
      <c r="L23" s="1">
        <f t="shared" si="1"/>
        <v>-0.10025969666641173</v>
      </c>
      <c r="N23" s="25">
        <f t="shared" si="2"/>
        <v>362.33558164101311</v>
      </c>
      <c r="O23" s="19">
        <f>L23*E23*1000/COS(G23*3.14/180)-J23*E23*L2*1000/COS(3.14*G2/180)</f>
        <v>-86.462660650788521</v>
      </c>
      <c r="P23" s="20">
        <f t="shared" si="3"/>
        <v>375</v>
      </c>
    </row>
    <row r="24" spans="1:16" x14ac:dyDescent="0.25">
      <c r="A24">
        <f>'Airfoil Interpolation'!Q26</f>
        <v>0.435305</v>
      </c>
      <c r="B24">
        <f>'Airfoil Interpolation'!R26</f>
        <v>-4.845E-2</v>
      </c>
      <c r="D24">
        <f t="shared" si="6"/>
        <v>0.375</v>
      </c>
      <c r="E24">
        <f t="shared" si="6"/>
        <v>0.85390625000000009</v>
      </c>
      <c r="F24">
        <f t="shared" si="6"/>
        <v>7.03125E-2</v>
      </c>
      <c r="G24">
        <f t="shared" si="6"/>
        <v>-8.0460151287766841</v>
      </c>
      <c r="J24">
        <f t="shared" si="5"/>
        <v>0</v>
      </c>
      <c r="K24" s="1">
        <f t="shared" si="0"/>
        <v>0.42424613272451528</v>
      </c>
      <c r="L24" s="1">
        <f t="shared" si="1"/>
        <v>-0.10995306470122101</v>
      </c>
      <c r="N24" s="25">
        <f t="shared" si="2"/>
        <v>436.17685652420948</v>
      </c>
      <c r="O24" s="19">
        <f>L24*E24*1000/COS(G24*3.14/180)-J24*E24*L2*1000/COS(3.14*G2/180)</f>
        <v>-94.82209538701683</v>
      </c>
      <c r="P24" s="20">
        <f t="shared" si="3"/>
        <v>375</v>
      </c>
    </row>
    <row r="25" spans="1:16" x14ac:dyDescent="0.25">
      <c r="A25">
        <f>'Airfoil Interpolation'!Q27</f>
        <v>0.52180250000000006</v>
      </c>
      <c r="B25">
        <f>'Airfoil Interpolation'!R27</f>
        <v>-4.4167499999999998E-2</v>
      </c>
      <c r="D25">
        <f t="shared" si="6"/>
        <v>0.375</v>
      </c>
      <c r="E25">
        <f t="shared" si="6"/>
        <v>0.85390625000000009</v>
      </c>
      <c r="F25">
        <f t="shared" si="6"/>
        <v>7.03125E-2</v>
      </c>
      <c r="G25">
        <f t="shared" si="6"/>
        <v>-8.0460151287766841</v>
      </c>
      <c r="J25">
        <f t="shared" si="5"/>
        <v>0</v>
      </c>
      <c r="K25" s="1">
        <f t="shared" si="0"/>
        <v>0.51049212367203989</v>
      </c>
      <c r="L25" s="1">
        <f t="shared" si="1"/>
        <v>-0.11789156225234923</v>
      </c>
      <c r="N25" s="25">
        <f t="shared" si="2"/>
        <v>510.554279314528</v>
      </c>
      <c r="O25" s="19">
        <f>L25*E25*1000/COS(G25*3.14/180)-J25*E25*L2*1000/COS(3.14*G2/180)</f>
        <v>-101.66815260304931</v>
      </c>
      <c r="P25" s="20">
        <f t="shared" si="3"/>
        <v>375</v>
      </c>
    </row>
    <row r="26" spans="1:16" x14ac:dyDescent="0.25">
      <c r="A26">
        <f>'Airfoil Interpolation'!Q28</f>
        <v>0.60836000000000001</v>
      </c>
      <c r="B26">
        <f>'Airfoil Interpolation'!R28</f>
        <v>-3.8497500000000004E-2</v>
      </c>
      <c r="D26">
        <f t="shared" si="6"/>
        <v>0.375</v>
      </c>
      <c r="E26">
        <f t="shared" si="6"/>
        <v>0.85390625000000009</v>
      </c>
      <c r="F26">
        <f t="shared" si="6"/>
        <v>7.03125E-2</v>
      </c>
      <c r="G26">
        <f t="shared" si="6"/>
        <v>-8.0460151287766841</v>
      </c>
      <c r="J26">
        <f t="shared" si="5"/>
        <v>0</v>
      </c>
      <c r="K26" s="1">
        <f t="shared" si="0"/>
        <v>0.59699163286269874</v>
      </c>
      <c r="L26" s="1">
        <f t="shared" si="1"/>
        <v>-0.12445103704100532</v>
      </c>
      <c r="N26" s="25">
        <f t="shared" si="2"/>
        <v>585.15033294608918</v>
      </c>
      <c r="O26" s="19">
        <f>L26*E26*1000/COS(G26*3.14/180)-J26*E26*L2*1000/COS(3.14*G2/180)</f>
        <v>-107.32495849371561</v>
      </c>
      <c r="P26" s="20">
        <f t="shared" si="3"/>
        <v>375</v>
      </c>
    </row>
    <row r="27" spans="1:16" x14ac:dyDescent="0.25">
      <c r="A27">
        <f>'Airfoil Interpolation'!Q29</f>
        <v>0.69484750000000006</v>
      </c>
      <c r="B27">
        <f>'Airfoil Interpolation'!R29</f>
        <v>-3.1547499999999999E-2</v>
      </c>
      <c r="D27">
        <f t="shared" si="6"/>
        <v>0.375</v>
      </c>
      <c r="E27">
        <f t="shared" si="6"/>
        <v>0.85390625000000009</v>
      </c>
      <c r="F27">
        <f t="shared" si="6"/>
        <v>7.03125E-2</v>
      </c>
      <c r="G27">
        <f t="shared" si="6"/>
        <v>-8.0460151287766841</v>
      </c>
      <c r="J27">
        <f t="shared" si="5"/>
        <v>0</v>
      </c>
      <c r="K27" s="1">
        <f t="shared" si="0"/>
        <v>0.68360089970395332</v>
      </c>
      <c r="L27" s="1">
        <f t="shared" si="1"/>
        <v>-0.12972062171921223</v>
      </c>
      <c r="N27" s="25">
        <f t="shared" si="2"/>
        <v>659.84104015044989</v>
      </c>
      <c r="O27" s="19">
        <f>L27*E27*1000/COS(G27*3.14/180)-J27*E27*L2*1000/COS(3.14*G2/180)</f>
        <v>-111.86937990083759</v>
      </c>
      <c r="P27" s="20">
        <f t="shared" si="3"/>
        <v>375</v>
      </c>
    </row>
    <row r="28" spans="1:16" x14ac:dyDescent="0.25">
      <c r="A28">
        <f>'Airfoil Interpolation'!Q30</f>
        <v>0.78123750000000003</v>
      </c>
      <c r="B28">
        <f>'Airfoil Interpolation'!R30</f>
        <v>-2.36975E-2</v>
      </c>
      <c r="D28">
        <f t="shared" si="6"/>
        <v>0.375</v>
      </c>
      <c r="E28">
        <f t="shared" si="6"/>
        <v>0.85390625000000009</v>
      </c>
      <c r="F28">
        <f t="shared" si="6"/>
        <v>7.03125E-2</v>
      </c>
      <c r="G28">
        <f t="shared" si="6"/>
        <v>-8.0460151287766841</v>
      </c>
      <c r="J28">
        <f t="shared" si="5"/>
        <v>0</v>
      </c>
      <c r="K28" s="1">
        <f t="shared" si="0"/>
        <v>0.77023953344402096</v>
      </c>
      <c r="L28" s="1">
        <f t="shared" si="1"/>
        <v>-0.13407643088643631</v>
      </c>
      <c r="N28" s="25">
        <f t="shared" si="2"/>
        <v>734.55707298705238</v>
      </c>
      <c r="O28" s="19">
        <f>L28*E28*1000/COS(G28*3.14/180)-J28*E28*L2*1000/COS(3.14*G2/180)</f>
        <v>-115.62577317158903</v>
      </c>
      <c r="P28" s="20">
        <f t="shared" si="3"/>
        <v>375</v>
      </c>
    </row>
    <row r="29" spans="1:16" x14ac:dyDescent="0.25">
      <c r="A29">
        <f>'Airfoil Interpolation'!Q31</f>
        <v>0.86755249999999995</v>
      </c>
      <c r="B29">
        <f>'Airfoil Interpolation'!R31</f>
        <v>-1.481E-2</v>
      </c>
      <c r="D29">
        <f t="shared" si="6"/>
        <v>0.375</v>
      </c>
      <c r="E29">
        <f t="shared" si="6"/>
        <v>0.85390625000000009</v>
      </c>
      <c r="F29">
        <f t="shared" si="6"/>
        <v>7.03125E-2</v>
      </c>
      <c r="G29">
        <f t="shared" si="6"/>
        <v>-8.0460151287766841</v>
      </c>
      <c r="J29">
        <f t="shared" si="5"/>
        <v>0</v>
      </c>
      <c r="K29" s="1">
        <f t="shared" si="0"/>
        <v>0.85694904877288491</v>
      </c>
      <c r="L29" s="1">
        <f t="shared" si="1"/>
        <v>-0.13738414350675054</v>
      </c>
      <c r="N29" s="25">
        <f t="shared" si="2"/>
        <v>809.33423318551877</v>
      </c>
      <c r="O29" s="19">
        <f>L29*E29*1000/COS(G29*3.14/180)-J29*E29*L2*1000/COS(3.14*G2/180)</f>
        <v>-118.47830158858724</v>
      </c>
      <c r="P29" s="20">
        <f t="shared" si="3"/>
        <v>375</v>
      </c>
    </row>
    <row r="30" spans="1:16" x14ac:dyDescent="0.25">
      <c r="A30">
        <f>'Airfoil Interpolation'!Q32</f>
        <v>0.95298000000000005</v>
      </c>
      <c r="B30">
        <f>'Airfoil Interpolation'!R32</f>
        <v>-5.3600000000000002E-3</v>
      </c>
      <c r="D30">
        <f t="shared" si="6"/>
        <v>0.375</v>
      </c>
      <c r="E30">
        <f t="shared" si="6"/>
        <v>0.85390625000000009</v>
      </c>
      <c r="F30">
        <f t="shared" si="6"/>
        <v>7.03125E-2</v>
      </c>
      <c r="G30">
        <f t="shared" si="6"/>
        <v>-8.0460151287766841</v>
      </c>
      <c r="J30">
        <f t="shared" si="5"/>
        <v>0</v>
      </c>
      <c r="K30" s="1">
        <f t="shared" si="0"/>
        <v>0.94285848437921982</v>
      </c>
      <c r="L30" s="1">
        <f t="shared" si="1"/>
        <v>-0.14000396365529827</v>
      </c>
      <c r="N30" s="25">
        <f t="shared" si="2"/>
        <v>883.4214150193709</v>
      </c>
      <c r="O30" s="19">
        <f>L30*E30*1000/COS(G30*3.14/180)-J30*E30*L2*1000/COS(3.14*G2/180)</f>
        <v>-120.73760046940927</v>
      </c>
      <c r="P30" s="20">
        <f t="shared" si="3"/>
        <v>375</v>
      </c>
    </row>
    <row r="31" spans="1:16" ht="15.75" thickBot="1" x14ac:dyDescent="0.3">
      <c r="A31">
        <f>'Airfoil Interpolation'!Q33</f>
        <v>1</v>
      </c>
      <c r="B31">
        <f>'Airfoil Interpolation'!R33</f>
        <v>-1.5749999999999998E-4</v>
      </c>
      <c r="D31">
        <f t="shared" si="6"/>
        <v>0.375</v>
      </c>
      <c r="E31">
        <f t="shared" si="6"/>
        <v>0.85390625000000009</v>
      </c>
      <c r="F31">
        <f t="shared" si="6"/>
        <v>7.03125E-2</v>
      </c>
      <c r="G31">
        <f t="shared" si="6"/>
        <v>-8.0460151287766841</v>
      </c>
      <c r="J31">
        <f t="shared" si="5"/>
        <v>0</v>
      </c>
      <c r="K31" s="1">
        <f t="shared" si="0"/>
        <v>0.9901439054891622</v>
      </c>
      <c r="L31" s="1">
        <f t="shared" si="1"/>
        <v>-0.14144479213131256</v>
      </c>
      <c r="N31" s="26">
        <f t="shared" si="2"/>
        <v>924.199748238967</v>
      </c>
      <c r="O31" s="27">
        <f>L31*E31*1000/COS(G31*3.14/180)-J31*E31*L2*1000/COS(3.14*G2/180)</f>
        <v>-121.98015223965965</v>
      </c>
      <c r="P31" s="28">
        <f t="shared" si="3"/>
        <v>375</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workbookViewId="0">
      <selection activeCell="V31" sqref="V31"/>
    </sheetView>
  </sheetViews>
  <sheetFormatPr defaultRowHeight="15" x14ac:dyDescent="0.25"/>
  <sheetData>
    <row r="1" spans="1:21" ht="15.75" thickBot="1" x14ac:dyDescent="0.3">
      <c r="A1">
        <v>5</v>
      </c>
      <c r="D1" t="s">
        <v>0</v>
      </c>
      <c r="E1" t="s">
        <v>1</v>
      </c>
      <c r="F1" t="s">
        <v>2</v>
      </c>
      <c r="G1" t="s">
        <v>5</v>
      </c>
      <c r="J1" t="s">
        <v>10</v>
      </c>
      <c r="K1" t="s">
        <v>9</v>
      </c>
      <c r="N1" s="6" t="s">
        <v>6</v>
      </c>
      <c r="O1" s="6" t="s">
        <v>7</v>
      </c>
      <c r="P1" s="6" t="s">
        <v>8</v>
      </c>
    </row>
    <row r="2" spans="1:21" x14ac:dyDescent="0.25">
      <c r="A2">
        <f>'Airfoil Interpolation'!U4</f>
        <v>1</v>
      </c>
      <c r="B2">
        <f>'Airfoil Interpolation'!V4</f>
        <v>4.4333333333333334E-4</v>
      </c>
      <c r="D2" s="4">
        <f>'Loft Viewer'!F5</f>
        <v>0.5</v>
      </c>
      <c r="E2" s="4">
        <f>'Loft Viewer'!F6</f>
        <v>0.81666666666666665</v>
      </c>
      <c r="F2" s="4">
        <f>'Loft Viewer'!F7</f>
        <v>0.125</v>
      </c>
      <c r="G2" s="4">
        <f>-'Loft Viewer'!F8</f>
        <v>-7.575315660905372</v>
      </c>
      <c r="J2">
        <f>'Loft Viewer'!B2</f>
        <v>0</v>
      </c>
      <c r="K2" s="1">
        <f>((A2)*COS(3.14*G2/180)-B2*SIN(3.14*G2/180))</f>
        <v>0.99133967613266827</v>
      </c>
      <c r="L2" s="1">
        <f>((A2)*SIN(3.14*G2/180)+B2*COS(3.14*G2/180))/COS(3.14*G2/180)</f>
        <v>-0.13247847445766592</v>
      </c>
      <c r="N2" s="22">
        <f>K2*E2*1000/COS(G2*3.14/180)+F2*1000</f>
        <v>941.71479174563183</v>
      </c>
      <c r="O2" s="23">
        <f>L2*E2*1000/COS(G2*3.14/180)-J2*E2*L2*1000/COS(3.14*G2/180)</f>
        <v>-109.14233766932568</v>
      </c>
      <c r="P2" s="24">
        <f>D2*1000</f>
        <v>500</v>
      </c>
    </row>
    <row r="3" spans="1:21" x14ac:dyDescent="0.25">
      <c r="A3">
        <f>'Airfoil Interpolation'!U5</f>
        <v>0.95355666666666661</v>
      </c>
      <c r="B3">
        <f>'Airfoil Interpolation'!V5</f>
        <v>5.6766666666666667E-3</v>
      </c>
      <c r="D3">
        <f>D2</f>
        <v>0.5</v>
      </c>
      <c r="E3">
        <f>E2</f>
        <v>0.81666666666666665</v>
      </c>
      <c r="F3">
        <f>F2</f>
        <v>0.125</v>
      </c>
      <c r="G3">
        <f>G2</f>
        <v>-7.575315660905372</v>
      </c>
      <c r="J3">
        <f>J2</f>
        <v>0</v>
      </c>
      <c r="K3" s="1">
        <f t="shared" ref="K3:K31" si="0">((A3)*COS(3.14*G3/180)-B3*SIN(3.14*G3/180))</f>
        <v>0.94599082925183353</v>
      </c>
      <c r="L3" s="1">
        <f t="shared" ref="L3:L31" si="1">((A3)*SIN(3.14*G3/180)+B3*COS(3.14*G3/180))/COS(3.14*G3/180)</f>
        <v>-0.12107180929782593</v>
      </c>
      <c r="N3" s="25">
        <f t="shared" ref="N3:N31" si="2">K3*E3*1000/COS(G3*3.14/180)+F3*1000</f>
        <v>904.35416256081862</v>
      </c>
      <c r="O3" s="19">
        <f>L3*E3*1000/COS(G3*3.14/180)-J3*E3*L2*1000/COS(3.14*G2/180)</f>
        <v>-99.744961184936756</v>
      </c>
      <c r="P3" s="20">
        <f t="shared" ref="P3:P31" si="3">D3*1000</f>
        <v>500</v>
      </c>
    </row>
    <row r="4" spans="1:21" x14ac:dyDescent="0.25">
      <c r="A4">
        <f>'Airfoil Interpolation'!U6</f>
        <v>0.86824000000000001</v>
      </c>
      <c r="B4">
        <f>'Airfoil Interpolation'!V6</f>
        <v>1.5793333333333333E-2</v>
      </c>
      <c r="D4">
        <f t="shared" ref="D4:G19" si="4">D3</f>
        <v>0.5</v>
      </c>
      <c r="E4">
        <f t="shared" si="4"/>
        <v>0.81666666666666665</v>
      </c>
      <c r="F4">
        <f t="shared" si="4"/>
        <v>0.125</v>
      </c>
      <c r="G4">
        <f t="shared" si="4"/>
        <v>-7.575315660905372</v>
      </c>
      <c r="J4">
        <f t="shared" ref="J4:J31" si="5">J3</f>
        <v>0</v>
      </c>
      <c r="K4" s="1">
        <f t="shared" si="0"/>
        <v>0.86275101762376694</v>
      </c>
      <c r="L4" s="1">
        <f t="shared" si="1"/>
        <v>-9.9614697063123855E-2</v>
      </c>
      <c r="N4" s="25">
        <f t="shared" si="2"/>
        <v>835.77707737446508</v>
      </c>
      <c r="O4" s="19">
        <f>L4*E4*1000/COS(G4*3.14/180)-J4*E4*L2*1000/COS(3.14*G2/180)</f>
        <v>-82.067527937644712</v>
      </c>
      <c r="P4" s="20">
        <f t="shared" si="3"/>
        <v>500</v>
      </c>
    </row>
    <row r="5" spans="1:21" x14ac:dyDescent="0.25">
      <c r="A5">
        <f>'Airfoil Interpolation'!U7</f>
        <v>0.78222666666666674</v>
      </c>
      <c r="B5">
        <f>'Airfoil Interpolation'!V7</f>
        <v>2.6866666666666664E-2</v>
      </c>
      <c r="D5">
        <f t="shared" si="4"/>
        <v>0.5</v>
      </c>
      <c r="E5">
        <f t="shared" si="4"/>
        <v>0.81666666666666665</v>
      </c>
      <c r="F5">
        <f t="shared" si="4"/>
        <v>0.125</v>
      </c>
      <c r="G5">
        <f t="shared" si="4"/>
        <v>-7.575315660905372</v>
      </c>
      <c r="J5">
        <f t="shared" si="5"/>
        <v>0</v>
      </c>
      <c r="K5" s="1">
        <f t="shared" si="0"/>
        <v>0.77894666655542355</v>
      </c>
      <c r="L5" s="1">
        <f t="shared" si="1"/>
        <v>-7.7108315968994048E-2</v>
      </c>
      <c r="N5" s="25">
        <f t="shared" si="2"/>
        <v>766.73489659827658</v>
      </c>
      <c r="O5" s="19">
        <f>L5*E5*1000/COS(G5*3.14/180)-J5*E5*L2*1000/COS(3.14*G2/180)</f>
        <v>-63.525654964348981</v>
      </c>
      <c r="P5" s="20">
        <f t="shared" si="3"/>
        <v>500</v>
      </c>
    </row>
    <row r="6" spans="1:21" x14ac:dyDescent="0.25">
      <c r="A6">
        <f>'Airfoil Interpolation'!U8</f>
        <v>0.69621666666666671</v>
      </c>
      <c r="B6">
        <f>'Airfoil Interpolation'!V8</f>
        <v>3.8723333333333332E-2</v>
      </c>
      <c r="D6">
        <f t="shared" si="4"/>
        <v>0.5</v>
      </c>
      <c r="E6">
        <f t="shared" si="4"/>
        <v>0.81666666666666665</v>
      </c>
      <c r="F6">
        <f t="shared" si="4"/>
        <v>0.125</v>
      </c>
      <c r="G6">
        <f t="shared" si="4"/>
        <v>-7.575315660905372</v>
      </c>
      <c r="J6">
        <f t="shared" si="5"/>
        <v>0</v>
      </c>
      <c r="K6" s="1">
        <f t="shared" si="0"/>
        <v>0.69524883402748239</v>
      </c>
      <c r="L6" s="1">
        <f t="shared" si="1"/>
        <v>-5.3819044614223523E-2</v>
      </c>
      <c r="N6" s="25">
        <f t="shared" si="2"/>
        <v>697.78047107857196</v>
      </c>
      <c r="O6" s="19">
        <f>L6*E6*1000/COS(G6*3.14/180)-J6*E6*L2*1000/COS(3.14*G2/180)</f>
        <v>-44.338798166060769</v>
      </c>
      <c r="P6" s="20">
        <f t="shared" si="3"/>
        <v>500</v>
      </c>
    </row>
    <row r="7" spans="1:21" x14ac:dyDescent="0.25">
      <c r="A7">
        <f>'Airfoil Interpolation'!U9</f>
        <v>0.61033666666666664</v>
      </c>
      <c r="B7">
        <f>'Airfoil Interpolation'!V9</f>
        <v>5.1403333333333329E-2</v>
      </c>
      <c r="D7">
        <f t="shared" si="4"/>
        <v>0.5</v>
      </c>
      <c r="E7">
        <f t="shared" si="4"/>
        <v>0.81666666666666665</v>
      </c>
      <c r="F7">
        <f t="shared" si="4"/>
        <v>0.125</v>
      </c>
      <c r="G7">
        <f t="shared" si="4"/>
        <v>-7.575315660905372</v>
      </c>
      <c r="J7">
        <f t="shared" si="5"/>
        <v>0</v>
      </c>
      <c r="K7" s="1">
        <f t="shared" si="0"/>
        <v>0.61178835284892608</v>
      </c>
      <c r="L7" s="1">
        <f t="shared" si="1"/>
        <v>-2.9723719761132514E-2</v>
      </c>
      <c r="N7" s="25">
        <f t="shared" si="2"/>
        <v>629.0215873721836</v>
      </c>
      <c r="O7" s="19">
        <f>L7*E7*1000/COS(G7*3.14/180)-J7*E7*L2*1000/COS(3.14*G2/180)</f>
        <v>-24.487874518774028</v>
      </c>
      <c r="P7" s="20">
        <f t="shared" si="3"/>
        <v>500</v>
      </c>
    </row>
    <row r="8" spans="1:21" x14ac:dyDescent="0.25">
      <c r="A8">
        <f>'Airfoil Interpolation'!U10</f>
        <v>0.52459666666666671</v>
      </c>
      <c r="B8">
        <f>'Airfoil Interpolation'!V10</f>
        <v>6.3846666666666663E-2</v>
      </c>
      <c r="D8">
        <f t="shared" si="4"/>
        <v>0.5</v>
      </c>
      <c r="E8">
        <f t="shared" si="4"/>
        <v>0.81666666666666665</v>
      </c>
      <c r="F8">
        <f t="shared" si="4"/>
        <v>0.125</v>
      </c>
      <c r="G8">
        <f t="shared" si="4"/>
        <v>-7.575315660905372</v>
      </c>
      <c r="J8">
        <f t="shared" si="5"/>
        <v>0</v>
      </c>
      <c r="K8" s="1">
        <f t="shared" si="0"/>
        <v>0.52843546716125644</v>
      </c>
      <c r="L8" s="1">
        <f t="shared" si="1"/>
        <v>-5.8836706277988985E-3</v>
      </c>
      <c r="N8" s="25">
        <f t="shared" si="2"/>
        <v>560.35134616750065</v>
      </c>
      <c r="O8" s="19">
        <f>L8*E8*1000/COS(G8*3.14/180)-J8*E8*L2*1000/COS(3.14*G2/180)</f>
        <v>-4.8472596700947443</v>
      </c>
      <c r="P8" s="20">
        <f t="shared" si="3"/>
        <v>500</v>
      </c>
    </row>
    <row r="9" spans="1:21" x14ac:dyDescent="0.25">
      <c r="A9">
        <f>'Airfoil Interpolation'!U11</f>
        <v>0.43918000000000001</v>
      </c>
      <c r="B9">
        <f>'Airfoil Interpolation'!V11</f>
        <v>7.3899999999999993E-2</v>
      </c>
      <c r="D9">
        <f t="shared" si="4"/>
        <v>0.5</v>
      </c>
      <c r="E9">
        <f t="shared" si="4"/>
        <v>0.81666666666666665</v>
      </c>
      <c r="F9">
        <f t="shared" si="4"/>
        <v>0.125</v>
      </c>
      <c r="G9">
        <f t="shared" si="4"/>
        <v>-7.575315660905372</v>
      </c>
      <c r="J9">
        <f t="shared" si="5"/>
        <v>0</v>
      </c>
      <c r="K9" s="1">
        <f t="shared" si="0"/>
        <v>0.44508818242357101</v>
      </c>
      <c r="L9" s="1">
        <f t="shared" si="1"/>
        <v>1.552340045434894E-2</v>
      </c>
      <c r="N9" s="25">
        <f t="shared" si="2"/>
        <v>491.68571930319979</v>
      </c>
      <c r="O9" s="19">
        <f>L9*E9*1000/COS(G9*3.14/180)-J9*E9*L2*1000/COS(3.14*G2/180)</f>
        <v>12.788947193878835</v>
      </c>
      <c r="P9" s="20">
        <f t="shared" si="3"/>
        <v>500</v>
      </c>
    </row>
    <row r="10" spans="1:21" x14ac:dyDescent="0.25">
      <c r="A10">
        <f>'Airfoil Interpolation'!U12</f>
        <v>0.35387333333333332</v>
      </c>
      <c r="B10">
        <f>'Airfoil Interpolation'!V12</f>
        <v>8.052999999999999E-2</v>
      </c>
      <c r="D10">
        <f t="shared" si="4"/>
        <v>0.5</v>
      </c>
      <c r="E10">
        <f t="shared" si="4"/>
        <v>0.81666666666666665</v>
      </c>
      <c r="F10">
        <f t="shared" si="4"/>
        <v>0.125</v>
      </c>
      <c r="G10">
        <f t="shared" si="4"/>
        <v>-7.575315660905372</v>
      </c>
      <c r="J10">
        <f t="shared" si="5"/>
        <v>0</v>
      </c>
      <c r="K10" s="1">
        <f t="shared" si="0"/>
        <v>0.36139887030628665</v>
      </c>
      <c r="L10" s="1">
        <f t="shared" si="1"/>
        <v>3.3492516804306455E-2</v>
      </c>
      <c r="N10" s="25">
        <f t="shared" si="2"/>
        <v>422.73831332037304</v>
      </c>
      <c r="O10" s="19">
        <f>L10*E10*1000/COS(G10*3.14/180)-J10*E10*L2*1000/COS(3.14*G2/180)</f>
        <v>27.592796440445841</v>
      </c>
      <c r="P10" s="20">
        <f t="shared" si="3"/>
        <v>500</v>
      </c>
    </row>
    <row r="11" spans="1:21" x14ac:dyDescent="0.25">
      <c r="A11">
        <f>'Airfoil Interpolation'!U13</f>
        <v>0.26930666666666669</v>
      </c>
      <c r="B11">
        <f>'Airfoil Interpolation'!V13</f>
        <v>8.1753333333333331E-2</v>
      </c>
      <c r="D11">
        <f t="shared" si="4"/>
        <v>0.5</v>
      </c>
      <c r="E11">
        <f t="shared" si="4"/>
        <v>0.81666666666666665</v>
      </c>
      <c r="F11">
        <f t="shared" si="4"/>
        <v>0.125</v>
      </c>
      <c r="G11">
        <f t="shared" si="4"/>
        <v>-7.575315660905372</v>
      </c>
      <c r="J11">
        <f t="shared" si="5"/>
        <v>0</v>
      </c>
      <c r="K11" s="1">
        <f t="shared" si="0"/>
        <v>0.27773070825772878</v>
      </c>
      <c r="L11" s="1">
        <f t="shared" si="1"/>
        <v>4.595660434983196E-2</v>
      </c>
      <c r="N11" s="25">
        <f t="shared" si="2"/>
        <v>353.80833181312335</v>
      </c>
      <c r="O11" s="19">
        <f>L11*E11*1000/COS(G11*3.14/180)-J11*E11*L2*1000/COS(3.14*G2/180)</f>
        <v>37.861329930152429</v>
      </c>
      <c r="P11" s="20">
        <f t="shared" si="3"/>
        <v>500</v>
      </c>
    </row>
    <row r="12" spans="1:21" x14ac:dyDescent="0.25">
      <c r="A12">
        <f>'Airfoil Interpolation'!U14</f>
        <v>0.18551666666666666</v>
      </c>
      <c r="B12">
        <f>'Airfoil Interpolation'!V14</f>
        <v>7.7079999999999982E-2</v>
      </c>
      <c r="D12">
        <f t="shared" si="4"/>
        <v>0.5</v>
      </c>
      <c r="E12">
        <f t="shared" si="4"/>
        <v>0.81666666666666665</v>
      </c>
      <c r="F12">
        <f t="shared" si="4"/>
        <v>0.125</v>
      </c>
      <c r="G12">
        <f t="shared" si="4"/>
        <v>-7.575315660905372</v>
      </c>
      <c r="J12">
        <f t="shared" si="5"/>
        <v>0</v>
      </c>
      <c r="K12" s="1">
        <f t="shared" si="0"/>
        <v>0.19405547943781198</v>
      </c>
      <c r="L12" s="1">
        <f t="shared" si="1"/>
        <v>5.2420789291306447E-2</v>
      </c>
      <c r="N12" s="25">
        <f t="shared" si="2"/>
        <v>284.87252834914409</v>
      </c>
      <c r="O12" s="19">
        <f>L12*E12*1000/COS(G12*3.14/180)-J12*E12*L2*1000/COS(3.14*G2/180)</f>
        <v>43.186846083079068</v>
      </c>
      <c r="P12" s="20">
        <f t="shared" si="3"/>
        <v>500</v>
      </c>
    </row>
    <row r="13" spans="1:21" x14ac:dyDescent="0.25">
      <c r="A13">
        <f>'Airfoil Interpolation'!U15</f>
        <v>0.10579333333333334</v>
      </c>
      <c r="B13">
        <f>'Airfoil Interpolation'!V15</f>
        <v>6.321333333333333E-2</v>
      </c>
      <c r="D13">
        <f t="shared" si="4"/>
        <v>0.5</v>
      </c>
      <c r="E13">
        <f t="shared" si="4"/>
        <v>0.81666666666666665</v>
      </c>
      <c r="F13">
        <f t="shared" si="4"/>
        <v>0.125</v>
      </c>
      <c r="G13">
        <f t="shared" si="4"/>
        <v>-7.575315660905372</v>
      </c>
      <c r="J13">
        <f t="shared" si="5"/>
        <v>0</v>
      </c>
      <c r="K13" s="1">
        <f t="shared" si="0"/>
        <v>0.11320012084469476</v>
      </c>
      <c r="L13" s="1">
        <f t="shared" si="1"/>
        <v>4.9151092214430876E-2</v>
      </c>
      <c r="N13" s="25">
        <f t="shared" si="2"/>
        <v>218.25987383247093</v>
      </c>
      <c r="O13" s="19">
        <f>L13*E13*1000/COS(G13*3.14/180)-J13*E13*L2*1000/COS(3.14*G2/180)</f>
        <v>40.493107467038485</v>
      </c>
      <c r="P13" s="20">
        <f t="shared" si="3"/>
        <v>500</v>
      </c>
    </row>
    <row r="14" spans="1:21" x14ac:dyDescent="0.25">
      <c r="A14">
        <f>'Airfoil Interpolation'!U16</f>
        <v>4.0489999999999998E-2</v>
      </c>
      <c r="B14">
        <f>'Airfoil Interpolation'!V16</f>
        <v>4.059666666666667E-2</v>
      </c>
      <c r="D14">
        <f t="shared" si="4"/>
        <v>0.5</v>
      </c>
      <c r="E14">
        <f t="shared" si="4"/>
        <v>0.81666666666666665</v>
      </c>
      <c r="F14">
        <f t="shared" si="4"/>
        <v>0.125</v>
      </c>
      <c r="G14">
        <f t="shared" si="4"/>
        <v>-7.575315660905372</v>
      </c>
      <c r="J14">
        <f t="shared" si="5"/>
        <v>0</v>
      </c>
      <c r="K14" s="1">
        <f t="shared" si="0"/>
        <v>4.5486112687625264E-2</v>
      </c>
      <c r="L14" s="1">
        <f t="shared" si="1"/>
        <v>3.5214662669209112E-2</v>
      </c>
      <c r="N14" s="25">
        <f t="shared" si="2"/>
        <v>162.47371556429124</v>
      </c>
      <c r="O14" s="19">
        <f>L14*E14*1000/COS(G14*3.14/180)-J14*E14*L2*1000/COS(3.14*G2/180)</f>
        <v>29.011585615611821</v>
      </c>
      <c r="P14" s="20">
        <f t="shared" si="3"/>
        <v>500</v>
      </c>
    </row>
    <row r="15" spans="1:21" x14ac:dyDescent="0.25">
      <c r="A15">
        <f>'Airfoil Interpolation'!U17</f>
        <v>1.0963333333333334E-2</v>
      </c>
      <c r="B15">
        <f>'Airfoil Interpolation'!V17</f>
        <v>2.0183333333333331E-2</v>
      </c>
      <c r="D15">
        <f t="shared" si="4"/>
        <v>0.5</v>
      </c>
      <c r="E15">
        <f t="shared" si="4"/>
        <v>0.81666666666666665</v>
      </c>
      <c r="F15">
        <f t="shared" si="4"/>
        <v>0.125</v>
      </c>
      <c r="G15">
        <f t="shared" si="4"/>
        <v>-7.575315660905372</v>
      </c>
      <c r="J15">
        <f t="shared" si="5"/>
        <v>0</v>
      </c>
      <c r="K15" s="1">
        <f t="shared" si="0"/>
        <v>1.352716137080727E-2</v>
      </c>
      <c r="L15" s="1">
        <f t="shared" si="1"/>
        <v>1.872606724725134E-2</v>
      </c>
      <c r="N15" s="25">
        <f t="shared" si="2"/>
        <v>136.14434643125281</v>
      </c>
      <c r="O15" s="19">
        <f>L15*E15*1000/COS(G15*3.14/180)-J15*E15*L2*1000/COS(3.14*G2/180)</f>
        <v>15.427462937543963</v>
      </c>
      <c r="P15" s="20">
        <f t="shared" si="3"/>
        <v>500</v>
      </c>
    </row>
    <row r="16" spans="1:21" x14ac:dyDescent="0.25">
      <c r="A16">
        <f>'Airfoil Interpolation'!U18</f>
        <v>1.24E-3</v>
      </c>
      <c r="B16">
        <f>'Airfoil Interpolation'!V18</f>
        <v>7.3133333333333331E-3</v>
      </c>
      <c r="D16">
        <f t="shared" si="4"/>
        <v>0.5</v>
      </c>
      <c r="E16">
        <f t="shared" si="4"/>
        <v>0.81666666666666665</v>
      </c>
      <c r="F16">
        <f t="shared" si="4"/>
        <v>0.125</v>
      </c>
      <c r="G16">
        <f t="shared" si="4"/>
        <v>-7.575315660905372</v>
      </c>
      <c r="J16">
        <f t="shared" si="5"/>
        <v>0</v>
      </c>
      <c r="K16" s="1">
        <f t="shared" si="0"/>
        <v>2.1928147526816197E-3</v>
      </c>
      <c r="L16" s="1">
        <f t="shared" si="1"/>
        <v>7.1485102916724937E-3</v>
      </c>
      <c r="N16" s="25">
        <f t="shared" si="2"/>
        <v>126.80654954824328</v>
      </c>
      <c r="O16" s="19">
        <f>L16*E16*1000/COS(G16*3.14/180)-J16*E16*L2*1000/COS(3.14*G2/180)</f>
        <v>5.8892973162646669</v>
      </c>
      <c r="P16" s="20">
        <f t="shared" si="3"/>
        <v>500</v>
      </c>
      <c r="U16" t="s">
        <v>22</v>
      </c>
    </row>
    <row r="17" spans="1:16" x14ac:dyDescent="0.25">
      <c r="A17">
        <f>'Airfoil Interpolation'!U19</f>
        <v>5.8666666666666665E-4</v>
      </c>
      <c r="B17">
        <f>'Airfoil Interpolation'!V19</f>
        <v>-2.66E-3</v>
      </c>
      <c r="D17">
        <f t="shared" si="4"/>
        <v>0.5</v>
      </c>
      <c r="E17">
        <f t="shared" si="4"/>
        <v>0.81666666666666665</v>
      </c>
      <c r="F17">
        <f t="shared" si="4"/>
        <v>0.125</v>
      </c>
      <c r="G17">
        <f t="shared" si="4"/>
        <v>-7.575315660905372</v>
      </c>
      <c r="J17">
        <f t="shared" si="5"/>
        <v>0</v>
      </c>
      <c r="K17" s="1">
        <f t="shared" si="0"/>
        <v>2.3106236651556917E-4</v>
      </c>
      <c r="L17" s="1">
        <f t="shared" si="1"/>
        <v>-2.7379807939040528E-3</v>
      </c>
      <c r="N17" s="25">
        <f t="shared" si="2"/>
        <v>125.1903606373198</v>
      </c>
      <c r="O17" s="19">
        <f>L17*E17*1000/COS(G17*3.14/180)-J17*E17*L2*1000/COS(3.14*G2/180)</f>
        <v>-2.2556843710930323</v>
      </c>
      <c r="P17" s="20">
        <f t="shared" si="3"/>
        <v>500</v>
      </c>
    </row>
    <row r="18" spans="1:16" x14ac:dyDescent="0.25">
      <c r="A18">
        <f>'Airfoil Interpolation'!U20</f>
        <v>8.6966666666666668E-3</v>
      </c>
      <c r="B18">
        <f>'Airfoil Interpolation'!V20</f>
        <v>-1.345E-2</v>
      </c>
      <c r="D18">
        <f t="shared" si="4"/>
        <v>0.5</v>
      </c>
      <c r="E18">
        <f t="shared" si="4"/>
        <v>0.81666666666666665</v>
      </c>
      <c r="F18">
        <f t="shared" si="4"/>
        <v>0.125</v>
      </c>
      <c r="G18">
        <f t="shared" si="4"/>
        <v>-7.575315660905372</v>
      </c>
      <c r="J18">
        <f t="shared" si="5"/>
        <v>0</v>
      </c>
      <c r="K18" s="1">
        <f t="shared" si="0"/>
        <v>6.8486317336471951E-3</v>
      </c>
      <c r="L18" s="1">
        <f t="shared" si="1"/>
        <v>-1.4605976655089057E-2</v>
      </c>
      <c r="N18" s="25">
        <f t="shared" si="2"/>
        <v>130.64224248736681</v>
      </c>
      <c r="O18" s="19">
        <f>L18*E18*1000/COS(G18*3.14/180)-J18*E18*L2*1000/COS(3.14*G2/180)</f>
        <v>-12.033127967437677</v>
      </c>
      <c r="P18" s="20">
        <f t="shared" si="3"/>
        <v>500</v>
      </c>
    </row>
    <row r="19" spans="1:16" x14ac:dyDescent="0.25">
      <c r="A19">
        <f>'Airfoil Interpolation'!U21</f>
        <v>3.4016666666666667E-2</v>
      </c>
      <c r="B19">
        <f>'Airfoil Interpolation'!V21</f>
        <v>-2.5763333333333333E-2</v>
      </c>
      <c r="D19">
        <f t="shared" si="4"/>
        <v>0.5</v>
      </c>
      <c r="E19">
        <f t="shared" si="4"/>
        <v>0.81666666666666665</v>
      </c>
      <c r="F19">
        <f t="shared" si="4"/>
        <v>0.125</v>
      </c>
      <c r="G19">
        <f t="shared" si="4"/>
        <v>-7.575315660905372</v>
      </c>
      <c r="J19">
        <f t="shared" si="5"/>
        <v>0</v>
      </c>
      <c r="K19" s="1">
        <f t="shared" si="0"/>
        <v>3.0325432793345763E-2</v>
      </c>
      <c r="L19" s="1">
        <f t="shared" si="1"/>
        <v>-3.0284890161690493E-2</v>
      </c>
      <c r="N19" s="25">
        <f t="shared" si="2"/>
        <v>149.98359555731028</v>
      </c>
      <c r="O19" s="19">
        <f>L19*E19*1000/COS(G19*3.14/180)-J19*E19*L2*1000/COS(3.14*G2/180)</f>
        <v>-24.950194526597649</v>
      </c>
      <c r="P19" s="20">
        <f t="shared" si="3"/>
        <v>500</v>
      </c>
    </row>
    <row r="20" spans="1:16" x14ac:dyDescent="0.25">
      <c r="A20">
        <f>'Airfoil Interpolation'!U22</f>
        <v>9.5993333333333333E-2</v>
      </c>
      <c r="B20">
        <f>'Airfoil Interpolation'!V22</f>
        <v>-4.0866666666666662E-2</v>
      </c>
      <c r="D20">
        <f t="shared" ref="D20:G31" si="6">D19</f>
        <v>0.5</v>
      </c>
      <c r="E20">
        <f t="shared" si="6"/>
        <v>0.81666666666666665</v>
      </c>
      <c r="F20">
        <f t="shared" si="6"/>
        <v>0.125</v>
      </c>
      <c r="G20">
        <f t="shared" si="6"/>
        <v>-7.575315660905372</v>
      </c>
      <c r="J20">
        <f t="shared" si="5"/>
        <v>0</v>
      </c>
      <c r="K20" s="1">
        <f t="shared" si="0"/>
        <v>8.9771682136137149E-2</v>
      </c>
      <c r="L20" s="1">
        <f t="shared" si="1"/>
        <v>-5.3626274069217314E-2</v>
      </c>
      <c r="N20" s="25">
        <f t="shared" si="2"/>
        <v>198.95836406597971</v>
      </c>
      <c r="O20" s="19">
        <f>L20*E20*1000/COS(G20*3.14/180)-J20*E20*L2*1000/COS(3.14*G2/180)</f>
        <v>-44.179984230424076</v>
      </c>
      <c r="P20" s="20">
        <f t="shared" si="3"/>
        <v>500</v>
      </c>
    </row>
    <row r="21" spans="1:16" x14ac:dyDescent="0.25">
      <c r="A21">
        <f>'Airfoil Interpolation'!U23</f>
        <v>0.17773666666666665</v>
      </c>
      <c r="B21">
        <f>'Airfoil Interpolation'!V23</f>
        <v>-4.8433333333333335E-2</v>
      </c>
      <c r="D21">
        <f t="shared" si="6"/>
        <v>0.5</v>
      </c>
      <c r="E21">
        <f t="shared" si="6"/>
        <v>0.81666666666666665</v>
      </c>
      <c r="F21">
        <f t="shared" si="6"/>
        <v>0.125</v>
      </c>
      <c r="G21">
        <f t="shared" si="6"/>
        <v>-7.575315660905372</v>
      </c>
      <c r="J21">
        <f t="shared" si="5"/>
        <v>0</v>
      </c>
      <c r="K21" s="1">
        <f t="shared" si="0"/>
        <v>0.1698053107787266</v>
      </c>
      <c r="L21" s="1">
        <f t="shared" si="1"/>
        <v>-7.2058412377412895E-2</v>
      </c>
      <c r="N21" s="25">
        <f t="shared" si="2"/>
        <v>264.89403669483568</v>
      </c>
      <c r="O21" s="19">
        <f>L21*E21*1000/COS(G21*3.14/180)-J21*E21*L2*1000/COS(3.14*G2/180)</f>
        <v>-59.365293930254985</v>
      </c>
      <c r="P21" s="20">
        <f t="shared" si="3"/>
        <v>500</v>
      </c>
    </row>
    <row r="22" spans="1:16" x14ac:dyDescent="0.25">
      <c r="A22">
        <f>'Airfoil Interpolation'!U24</f>
        <v>0.26286666666666669</v>
      </c>
      <c r="B22">
        <f>'Airfoil Interpolation'!V24</f>
        <v>-5.0946666666666668E-2</v>
      </c>
      <c r="D22">
        <f t="shared" si="6"/>
        <v>0.5</v>
      </c>
      <c r="E22">
        <f t="shared" si="6"/>
        <v>0.81666666666666665</v>
      </c>
      <c r="F22">
        <f t="shared" si="6"/>
        <v>0.125</v>
      </c>
      <c r="G22">
        <f t="shared" si="6"/>
        <v>-7.575315660905372</v>
      </c>
      <c r="J22">
        <f t="shared" si="5"/>
        <v>0</v>
      </c>
      <c r="K22" s="1">
        <f t="shared" si="0"/>
        <v>0.25386192046697031</v>
      </c>
      <c r="L22" s="1">
        <f t="shared" si="1"/>
        <v>-8.5887379207994011E-2</v>
      </c>
      <c r="N22" s="25">
        <f t="shared" si="2"/>
        <v>334.14404063313316</v>
      </c>
      <c r="O22" s="19">
        <f>L22*E22*1000/COS(G22*3.14/180)-J22*E22*L2*1000/COS(3.14*G2/180)</f>
        <v>-70.758282667632855</v>
      </c>
      <c r="P22" s="20">
        <f t="shared" si="3"/>
        <v>500</v>
      </c>
    </row>
    <row r="23" spans="1:16" x14ac:dyDescent="0.25">
      <c r="A23">
        <f>'Airfoil Interpolation'!U25</f>
        <v>0.34875999999999996</v>
      </c>
      <c r="B23">
        <f>'Airfoil Interpolation'!V25</f>
        <v>-5.0783333333333333E-2</v>
      </c>
      <c r="D23">
        <f t="shared" si="6"/>
        <v>0.5</v>
      </c>
      <c r="E23">
        <f t="shared" si="6"/>
        <v>0.81666666666666665</v>
      </c>
      <c r="F23">
        <f t="shared" si="6"/>
        <v>0.125</v>
      </c>
      <c r="G23">
        <f t="shared" si="6"/>
        <v>-7.575315660905372</v>
      </c>
      <c r="J23">
        <f t="shared" si="5"/>
        <v>0</v>
      </c>
      <c r="K23" s="1">
        <f t="shared" si="0"/>
        <v>0.33902789353967128</v>
      </c>
      <c r="L23" s="1">
        <f t="shared" si="1"/>
        <v>-9.7141143018522225E-2</v>
      </c>
      <c r="N23" s="25">
        <f t="shared" si="2"/>
        <v>404.3079931476056</v>
      </c>
      <c r="O23" s="19">
        <f>L23*E23*1000/COS(G23*3.14/180)-J23*E23*L2*1000/COS(3.14*G2/180)</f>
        <v>-80.029691437153389</v>
      </c>
      <c r="P23" s="20">
        <f t="shared" si="3"/>
        <v>500</v>
      </c>
    </row>
    <row r="24" spans="1:16" x14ac:dyDescent="0.25">
      <c r="A24">
        <f>'Airfoil Interpolation'!U26</f>
        <v>0.435</v>
      </c>
      <c r="B24">
        <f>'Airfoil Interpolation'!V26</f>
        <v>-4.8313333333333333E-2</v>
      </c>
      <c r="D24">
        <f t="shared" si="6"/>
        <v>0.5</v>
      </c>
      <c r="E24">
        <f t="shared" si="6"/>
        <v>0.81666666666666665</v>
      </c>
      <c r="F24">
        <f t="shared" si="6"/>
        <v>0.125</v>
      </c>
      <c r="G24">
        <f t="shared" si="6"/>
        <v>-7.575315660905372</v>
      </c>
      <c r="J24">
        <f t="shared" si="5"/>
        <v>0</v>
      </c>
      <c r="K24" s="1">
        <f t="shared" si="0"/>
        <v>0.42484144386598488</v>
      </c>
      <c r="L24" s="1">
        <f t="shared" si="1"/>
        <v>-0.10613431972241801</v>
      </c>
      <c r="N24" s="25">
        <f t="shared" si="2"/>
        <v>475.00545192088811</v>
      </c>
      <c r="O24" s="19">
        <f>L24*E24*1000/COS(G24*3.14/180)-J24*E24*L2*1000/COS(3.14*G2/180)</f>
        <v>-87.438716432003858</v>
      </c>
      <c r="P24" s="20">
        <f t="shared" si="3"/>
        <v>500</v>
      </c>
    </row>
    <row r="25" spans="1:16" x14ac:dyDescent="0.25">
      <c r="A25">
        <f>'Airfoil Interpolation'!U27</f>
        <v>0.52162333333333333</v>
      </c>
      <c r="B25">
        <f>'Airfoil Interpolation'!V27</f>
        <v>-4.4040000000000003E-2</v>
      </c>
      <c r="D25">
        <f t="shared" si="6"/>
        <v>0.5</v>
      </c>
      <c r="E25">
        <f t="shared" si="6"/>
        <v>0.81666666666666665</v>
      </c>
      <c r="F25">
        <f t="shared" si="6"/>
        <v>0.125</v>
      </c>
      <c r="G25">
        <f t="shared" si="6"/>
        <v>-7.575315660905372</v>
      </c>
      <c r="J25">
        <f t="shared" si="5"/>
        <v>0</v>
      </c>
      <c r="K25" s="1">
        <f t="shared" si="0"/>
        <v>0.51127259776719514</v>
      </c>
      <c r="L25" s="1">
        <f t="shared" si="1"/>
        <v>-0.11337511645263366</v>
      </c>
      <c r="N25" s="25">
        <f t="shared" si="2"/>
        <v>546.2117231498778</v>
      </c>
      <c r="O25" s="19">
        <f>L25*E25*1000/COS(G25*3.14/180)-J25*E25*L2*1000/COS(3.14*G2/180)</f>
        <v>-93.404043893384639</v>
      </c>
      <c r="P25" s="20">
        <f t="shared" si="3"/>
        <v>500</v>
      </c>
    </row>
    <row r="26" spans="1:16" x14ac:dyDescent="0.25">
      <c r="A26">
        <f>'Airfoil Interpolation'!U28</f>
        <v>0.60833000000000004</v>
      </c>
      <c r="B26">
        <f>'Airfoil Interpolation'!V28</f>
        <v>-3.8383333333333332E-2</v>
      </c>
      <c r="D26">
        <f t="shared" si="6"/>
        <v>0.5</v>
      </c>
      <c r="E26">
        <f t="shared" si="6"/>
        <v>0.81666666666666665</v>
      </c>
      <c r="F26">
        <f t="shared" si="6"/>
        <v>0.125</v>
      </c>
      <c r="G26">
        <f t="shared" si="6"/>
        <v>-7.575315660905372</v>
      </c>
      <c r="J26">
        <f t="shared" si="5"/>
        <v>0</v>
      </c>
      <c r="K26" s="1">
        <f t="shared" si="0"/>
        <v>0.59796863044807247</v>
      </c>
      <c r="L26" s="1">
        <f t="shared" si="1"/>
        <v>-0.11924365666683191</v>
      </c>
      <c r="N26" s="25">
        <f t="shared" si="2"/>
        <v>617.63621465450251</v>
      </c>
      <c r="O26" s="19">
        <f>L26*E26*1000/COS(G26*3.14/180)-J26*E26*L2*1000/COS(3.14*G2/180)</f>
        <v>-98.238838378346188</v>
      </c>
      <c r="P26" s="20">
        <f t="shared" si="3"/>
        <v>500</v>
      </c>
    </row>
    <row r="27" spans="1:16" x14ac:dyDescent="0.25">
      <c r="A27">
        <f>'Airfoil Interpolation'!U29</f>
        <v>0.69499</v>
      </c>
      <c r="B27">
        <f>'Airfoil Interpolation'!V29</f>
        <v>-3.1469999999999998E-2</v>
      </c>
      <c r="D27">
        <f t="shared" si="6"/>
        <v>0.5</v>
      </c>
      <c r="E27">
        <f t="shared" si="6"/>
        <v>0.81666666666666665</v>
      </c>
      <c r="F27">
        <f t="shared" si="6"/>
        <v>0.125</v>
      </c>
      <c r="G27">
        <f t="shared" si="6"/>
        <v>-7.575315660905372</v>
      </c>
      <c r="J27">
        <f t="shared" si="5"/>
        <v>0</v>
      </c>
      <c r="K27" s="1">
        <f t="shared" si="0"/>
        <v>0.68478398537766627</v>
      </c>
      <c r="L27" s="1">
        <f t="shared" si="1"/>
        <v>-0.12384932719666657</v>
      </c>
      <c r="N27" s="25">
        <f t="shared" si="2"/>
        <v>689.15900974553404</v>
      </c>
      <c r="O27" s="19">
        <f>L27*E27*1000/COS(G27*3.14/180)-J27*E27*L2*1000/COS(3.14*G2/180)</f>
        <v>-102.0332181839614</v>
      </c>
      <c r="P27" s="20">
        <f t="shared" si="3"/>
        <v>500</v>
      </c>
    </row>
    <row r="28" spans="1:16" x14ac:dyDescent="0.25">
      <c r="A28">
        <f>'Airfoil Interpolation'!U30</f>
        <v>0.78156666666666663</v>
      </c>
      <c r="B28">
        <f>'Airfoil Interpolation'!V30</f>
        <v>-2.3653333333333335E-2</v>
      </c>
      <c r="D28">
        <f t="shared" si="6"/>
        <v>0.5</v>
      </c>
      <c r="E28">
        <f t="shared" si="6"/>
        <v>0.81666666666666665</v>
      </c>
      <c r="F28">
        <f t="shared" si="6"/>
        <v>0.125</v>
      </c>
      <c r="G28">
        <f t="shared" si="6"/>
        <v>-7.575315660905372</v>
      </c>
      <c r="J28">
        <f t="shared" si="5"/>
        <v>0</v>
      </c>
      <c r="K28" s="1">
        <f t="shared" si="0"/>
        <v>0.77163575935269424</v>
      </c>
      <c r="L28" s="1">
        <f t="shared" si="1"/>
        <v>-0.12754058757585199</v>
      </c>
      <c r="N28" s="25">
        <f t="shared" si="2"/>
        <v>760.71180865243548</v>
      </c>
      <c r="O28" s="19">
        <f>L28*E28*1000/COS(G28*3.14/180)-J28*E28*L2*1000/COS(3.14*G2/180)</f>
        <v>-105.07426155632598</v>
      </c>
      <c r="P28" s="20">
        <f t="shared" si="3"/>
        <v>500</v>
      </c>
    </row>
    <row r="29" spans="1:16" x14ac:dyDescent="0.25">
      <c r="A29">
        <f>'Airfoil Interpolation'!U31</f>
        <v>0.86806666666666665</v>
      </c>
      <c r="B29">
        <f>'Airfoil Interpolation'!V31</f>
        <v>-1.482E-2</v>
      </c>
      <c r="D29">
        <f t="shared" si="6"/>
        <v>0.5</v>
      </c>
      <c r="E29">
        <f t="shared" si="6"/>
        <v>0.81666666666666665</v>
      </c>
      <c r="F29">
        <f t="shared" si="6"/>
        <v>0.125</v>
      </c>
      <c r="G29">
        <f t="shared" si="6"/>
        <v>-7.575315660905372</v>
      </c>
      <c r="J29">
        <f t="shared" si="5"/>
        <v>0</v>
      </c>
      <c r="K29" s="1">
        <f t="shared" si="0"/>
        <v>0.85854549404325531</v>
      </c>
      <c r="L29" s="1">
        <f t="shared" si="1"/>
        <v>-0.13020499061644006</v>
      </c>
      <c r="N29" s="25">
        <f t="shared" si="2"/>
        <v>832.31235847141659</v>
      </c>
      <c r="O29" s="19">
        <f>L29*E29*1000/COS(G29*3.14/180)-J29*E29*L2*1000/COS(3.14*G2/180)</f>
        <v>-107.26932892507024</v>
      </c>
      <c r="P29" s="20">
        <f t="shared" si="3"/>
        <v>500</v>
      </c>
    </row>
    <row r="30" spans="1:16" x14ac:dyDescent="0.25">
      <c r="A30">
        <f>'Airfoil Interpolation'!U32</f>
        <v>0.95356333333333332</v>
      </c>
      <c r="B30">
        <f>'Airfoil Interpolation'!V32</f>
        <v>-5.4099999999999999E-3</v>
      </c>
      <c r="D30">
        <f t="shared" si="6"/>
        <v>0.5</v>
      </c>
      <c r="E30">
        <f t="shared" si="6"/>
        <v>0.81666666666666665</v>
      </c>
      <c r="F30">
        <f t="shared" si="6"/>
        <v>0.125</v>
      </c>
      <c r="G30">
        <f t="shared" si="6"/>
        <v>-7.575315660905372</v>
      </c>
      <c r="J30">
        <f t="shared" si="5"/>
        <v>0</v>
      </c>
      <c r="K30" s="1">
        <f t="shared" si="0"/>
        <v>0.94453662647245906</v>
      </c>
      <c r="L30" s="1">
        <f t="shared" si="1"/>
        <v>-0.13215936210987789</v>
      </c>
      <c r="N30" s="25">
        <f t="shared" si="2"/>
        <v>903.15611818843365</v>
      </c>
      <c r="O30" s="19">
        <f>L30*E30*1000/COS(G30*3.14/180)-J30*E30*L2*1000/COS(3.14*G2/180)</f>
        <v>-108.87943709050099</v>
      </c>
      <c r="P30" s="20">
        <f t="shared" si="3"/>
        <v>500</v>
      </c>
    </row>
    <row r="31" spans="1:16" ht="15.75" thickBot="1" x14ac:dyDescent="0.3">
      <c r="A31">
        <f>'Airfoil Interpolation'!U33</f>
        <v>1</v>
      </c>
      <c r="B31">
        <f>'Airfoil Interpolation'!V33</f>
        <v>-2.5666666666666687E-4</v>
      </c>
      <c r="D31">
        <f t="shared" si="6"/>
        <v>0.5</v>
      </c>
      <c r="E31">
        <f t="shared" si="6"/>
        <v>0.81666666666666665</v>
      </c>
      <c r="F31">
        <f t="shared" si="6"/>
        <v>0.125</v>
      </c>
      <c r="G31">
        <f t="shared" si="6"/>
        <v>-7.575315660905372</v>
      </c>
      <c r="J31">
        <f t="shared" si="5"/>
        <v>0</v>
      </c>
      <c r="K31" s="1">
        <f t="shared" si="0"/>
        <v>0.99124744210457616</v>
      </c>
      <c r="L31" s="1">
        <f t="shared" si="1"/>
        <v>-0.1331784744576659</v>
      </c>
      <c r="N31" s="26">
        <f t="shared" si="2"/>
        <v>941.6388047788447</v>
      </c>
      <c r="O31" s="27">
        <f>L31*E31*1000/COS(G31*3.14/180)-J31*E31*L2*1000/COS(3.14*G2/180)</f>
        <v>-109.71903238657151</v>
      </c>
      <c r="P31" s="28">
        <f t="shared" si="3"/>
        <v>500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READ ME!</vt:lpstr>
      <vt:lpstr>Parabell Planform</vt:lpstr>
      <vt:lpstr>Loft Viewer</vt:lpstr>
      <vt:lpstr>Airfoil Interpolation</vt:lpstr>
      <vt:lpstr>Root</vt:lpstr>
      <vt:lpstr>2</vt:lpstr>
      <vt:lpstr>3</vt:lpstr>
      <vt:lpstr>4</vt:lpstr>
      <vt:lpstr>5</vt:lpstr>
      <vt:lpstr>6</vt:lpstr>
      <vt:lpstr>7</vt:lpstr>
      <vt:lpstr>8</vt:lpstr>
      <vt:lpstr>9</vt:lpstr>
      <vt:lpstr>10</vt:lpstr>
      <vt:lpstr>11</vt:lpstr>
      <vt:lpstr>12</vt:lpstr>
      <vt:lpstr>Tip</vt:lpstr>
      <vt:lpstr>Airfoil database</vt:lpstr>
      <vt:lpstr>Calculations (ignore)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2018-01-14T15:24:29Z</dcterms:modified>
</cp:coreProperties>
</file>